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1275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fn.SINGLE" hidden="1">#NAME?</definedName>
    <definedName name="A_impresión_IM" localSheetId="11">#REF!</definedName>
    <definedName name="A_impresión_IM">#REF!</definedName>
    <definedName name="_xlnm.Print_Area" localSheetId="4">'DEP-C1'!$A$1:$BU$49</definedName>
    <definedName name="_xlnm.Print_Area" localSheetId="5">'DEP-C2'!$B$1:$D$47</definedName>
    <definedName name="_xlnm.Print_Area" localSheetId="6">'DEP-C3'!$B$5:$D$62</definedName>
    <definedName name="_xlnm.Print_Area" localSheetId="7">'DEP-C4'!$B$1:$D$96</definedName>
    <definedName name="_xlnm.Print_Area" localSheetId="8">'DEP-C5'!$B$1:$D$51</definedName>
    <definedName name="_xlnm.Print_Area" localSheetId="9">'DEP-C6'!$B$1:$E$81</definedName>
    <definedName name="_xlnm.Print_Area" localSheetId="10">'DEP-C7'!$B$1:$E$93</definedName>
    <definedName name="_xlnm.Print_Area" localSheetId="11">'DEP-C8'!$B$1:$D$127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<sst xmlns="http://schemas.openxmlformats.org/spreadsheetml/2006/main" count="672" uniqueCount="265">
  <si>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</si>
  <si>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</si>
  <si>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</si>
  <si>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</si>
  <si>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</si>
  <si>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</si>
  <si>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</si>
  <si>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</si>
  <si>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</si>
  <si>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</si>
  <si>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</si>
  <si>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</si>
  <si>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</si>
  <si>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</si>
  <si>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</si>
  <si>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</si>
  <si>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</si>
  <si>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</si>
  <si>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</si>
  <si>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</si>
  <si>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</si>
  <si>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</si>
  <si>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</si>
  <si>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</si>
  <si>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</si>
  <si>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</si>
  <si>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</si>
  <si>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</si>
  <si>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</si>
  <si>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</si>
  <si>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</si>
  <si>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</si>
  <si>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</si>
  <si>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</si>
  <si>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</si>
  <si>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</si>
  <si>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</si>
  <si>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</si>
  <si>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</si>
  <si>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</si>
  <si>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</si>
  <si>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</si>
  <si>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</si>
  <si>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</si>
  <si>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</si>
  <si>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</si>
  <si>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</si>
  <si>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</si>
  <si>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</si>
  <si>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</si>
  <si>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</si>
  <si>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</si>
  <si>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</si>
  <si>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</si>
  <si>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</si>
  <si>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</si>
  <si>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</si>
  <si>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</si>
  <si>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</si>
  <si>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</si>
  <si>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</si>
  <si>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</si>
  <si>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</si>
  <si>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</si>
  <si>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</si>
  <si>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</si>
  <si>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</si>
  <si>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</si>
  <si>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</si>
  <si>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</si>
  <si>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</si>
  <si>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</si>
  <si>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</si>
  <si>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</si>
  <si>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</si>
  <si>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</si>
  <si>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</si>
  <si>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</si>
  <si>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</si>
  <si>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</si>
  <si>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</si>
  <si>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</si>
  <si>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</si>
  <si>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</si>
  <si>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</si>
  <si>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</si>
  <si>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</si>
  <si>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</si>
  <si>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</si>
  <si>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</si>
  <si>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</si>
  <si>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</si>
  <si>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</si>
  <si>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</si>
  <si>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</si>
  <si>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</si>
  <si>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</si>
  <si>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</si>
  <si>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</si>
  <si>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</si>
  <si>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</si>
  <si>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</si>
  <si>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</si>
  <si>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</si>
  <si>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</si>
  <si>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</si>
  <si>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</si>
  <si>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</si>
  <si>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</si>
  <si>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</si>
  <si>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</si>
  <si>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</si>
  <si>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</si>
  <si>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</si>
  <si>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</si>
  <si>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</si>
  <si>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</si>
  <si>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</si>
  <si>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</si>
  <si>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</si>
  <si>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</si>
  <si>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</si>
  <si>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</si>
  <si>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</si>
  <si>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</si>
  <si>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</si>
  <si>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</si>
  <si>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</si>
  <si>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</si>
  <si>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</si>
  <si>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</si>
  <si>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</si>
  <si>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</si>
  <si>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</si>
  <si>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</si>
  <si>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</si>
  <si>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</si>
  <si>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</si>
  <si>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</si>
  <si>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</si>
  <si>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</si>
  <si>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</si>
  <si>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</si>
  <si>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</si>
  <si>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</si>
  <si>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</si>
  <si>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</si>
  <si>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</si>
  <si>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</si>
  <si>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</si>
  <si>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</si>
  <si>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</si>
  <si>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</si>
  <si>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</si>
  <si>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</si>
  <si>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</si>
  <si>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</si>
  <si>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</si>
  <si>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</si>
  <si>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</si>
  <si>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</si>
  <si>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</si>
  <si>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</si>
  <si>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</si>
  <si>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</si>
  <si>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</si>
  <si>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</si>
  <si>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</si>
  <si>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</si>
  <si>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</si>
  <si>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</si>
  <si>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</si>
  <si>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</si>
  <si>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</si>
  <si>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</si>
  <si>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</si>
  <si>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</si>
  <si>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</si>
  <si>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</si>
  <si>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</si>
  <si>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</si>
  <si>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</si>
  <si>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</si>
  <si>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</si>
  <si>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</si>
  <si>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</si>
  <si>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</si>
  <si>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</si>
  <si>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</si>
  <si>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</si>
  <si>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</si>
  <si>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</si>
  <si>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</si>
  <si>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</si>
  <si>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</si>
  <si>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</si>
  <si>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</si>
  <si>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</si>
  <si>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</si>
  <si>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</si>
  <si>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</si>
  <si>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</si>
  <si>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</si>
  <si>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</si>
  <si>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</si>
  <si>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</si>
  <si>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</si>
  <si>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</si>
  <si>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</si>
  <si>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</si>
  <si>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</si>
  <si>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</si>
  <si>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</si>
  <si>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</si>
  <si>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</si>
  <si>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</si>
  <si>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</si>
  <si>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</si>
  <si>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</si>
  <si>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</si>
  <si>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</si>
  <si>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</si>
  <si>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</si>
  <si>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</si>
  <si>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</si>
  <si>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</si>
  <si>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</si>
  <si>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</si>
  <si>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Fábrica de Armas y Municiones del Ejército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</si>
  <si>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</si>
  <si>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</si>
  <si>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</si>
  <si>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</si>
  <si>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</si>
  <si>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</si>
  <si>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</si>
  <si>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</si>
  <si>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</si>
  <si>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Latinoamericano de Comercio Exterior S.A.</t>
  </si>
  <si>
    <t>Servicios Postales del Perú</t>
  </si>
  <si>
    <t>JPMORGAN CHASE BANK</t>
  </si>
  <si>
    <t>SERVICIOS POSTALES DEL PERÚ S.A</t>
  </si>
  <si>
    <t>Servicios Postales del Peru S.A.</t>
  </si>
  <si>
    <t>Servicios Industriales de la Marina</t>
  </si>
  <si>
    <t>Empresa Electricidad del Perú</t>
  </si>
  <si>
    <t>Citibank</t>
  </si>
  <si>
    <t>Citibank N.A.</t>
  </si>
  <si>
    <t>Empresa Regional de Servicio Público de Electricidad del Norte Medio</t>
  </si>
  <si>
    <t>Banco Interamericano de Finanzas</t>
  </si>
  <si>
    <t>DZ BANK AG, NEW YORK BRANCH</t>
  </si>
  <si>
    <t>DEUTSCHE BANK AG LONDON BRANCH</t>
  </si>
  <si>
    <t>CONTINENTAL SAECA</t>
  </si>
  <si>
    <t>ALIADO S.A.</t>
  </si>
  <si>
    <t>Banco Wiese Sudameris</t>
  </si>
  <si>
    <t>BANCO WIESE SUDAMERIS</t>
  </si>
  <si>
    <t>Aliado S.A.</t>
  </si>
  <si>
    <t xml:space="preserve">Se presenta la deuda de corto plazo y de mediano y largo plazo.                                                         </t>
  </si>
  <si>
    <t xml:space="preserve"> 3/  Incluye: Bonos COFIDE por US$ 1 166,5 millones y Bonos Fondo MIVIVIENDA por US$ 600,0 millones.</t>
  </si>
  <si>
    <t>BANCO BILBAO VIZCAYA ARGENTARIA S.A.</t>
  </si>
  <si>
    <t>AL 30 DE ABRIL 2024</t>
  </si>
  <si>
    <t>Al 30 de abril de 2024</t>
  </si>
  <si>
    <t xml:space="preserve"> 4/  Incluye: Bonos COFIDE por US$ 282,9 millones y Bonos Fondo MIVIVIENDA por US$ 213,3 millones.</t>
  </si>
  <si>
    <t>Banco Latinoamericano de Comercio Exterior</t>
  </si>
  <si>
    <t>Empresa Regional de Servicio Público de Electricidad del Sur S.A.</t>
  </si>
  <si>
    <t>Período: De 2009 al 30 de abril 2024</t>
  </si>
</sst>
</file>

<file path=xl/styles.xml><?xml version="1.0" encoding="utf-8"?>
<styleSheet xmlns="http://schemas.openxmlformats.org/spreadsheetml/2006/main">
  <numFmts count="6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00"/>
    <numFmt numFmtId="224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9"/>
      <color indexed="55"/>
      <name val="Arial"/>
      <family val="2"/>
    </font>
    <font>
      <b/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9"/>
      <color theme="0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9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3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3" fontId="11" fillId="48" borderId="61" xfId="300" applyNumberFormat="1" applyFont="1" applyFill="1" applyBorder="1" applyAlignment="1">
      <alignment horizontal="right" vertical="center" indent="1"/>
    </xf>
    <xf numFmtId="3" fontId="0" fillId="0" borderId="22" xfId="300" applyNumberFormat="1" applyFont="1" applyFill="1" applyBorder="1" applyAlignment="1">
      <alignment horizontal="right" vertical="center" indent="1"/>
    </xf>
    <xf numFmtId="0" fontId="11" fillId="48" borderId="54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0" fontId="33" fillId="48" borderId="19" xfId="0" applyFont="1" applyFill="1" applyBorder="1" applyAlignment="1">
      <alignment horizontal="center" vertical="center"/>
    </xf>
    <xf numFmtId="214" fontId="0" fillId="48" borderId="0" xfId="0" applyNumberFormat="1" applyFont="1" applyFill="1" applyAlignment="1">
      <alignment vertical="center"/>
    </xf>
    <xf numFmtId="219" fontId="8" fillId="47" borderId="0" xfId="323" applyNumberFormat="1" applyFont="1" applyFill="1">
      <alignment/>
      <protection/>
    </xf>
    <xf numFmtId="0" fontId="8" fillId="48" borderId="22" xfId="0" applyFont="1" applyFill="1" applyBorder="1" applyAlignment="1">
      <alignment horizontal="center" vertical="center"/>
    </xf>
    <xf numFmtId="3" fontId="8" fillId="49" borderId="22" xfId="300" applyNumberFormat="1" applyFont="1" applyFill="1" applyBorder="1" applyAlignment="1">
      <alignment horizontal="right" vertical="center" indent="1"/>
    </xf>
    <xf numFmtId="204" fontId="0" fillId="48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" fontId="11" fillId="48" borderId="46" xfId="300" applyNumberFormat="1" applyFont="1" applyFill="1" applyBorder="1" applyAlignment="1">
      <alignment horizontal="right" vertical="center" indent="1"/>
    </xf>
    <xf numFmtId="3" fontId="8" fillId="48" borderId="46" xfId="300" applyNumberFormat="1" applyFont="1" applyFill="1" applyBorder="1" applyAlignment="1">
      <alignment horizontal="right" vertical="center" indent="1"/>
    </xf>
    <xf numFmtId="0" fontId="12" fillId="48" borderId="0" xfId="0" applyFont="1" applyFill="1" applyAlignment="1">
      <alignment horizontal="center"/>
    </xf>
    <xf numFmtId="0" fontId="13" fillId="48" borderId="0" xfId="0" applyFont="1" applyFill="1" applyAlignment="1">
      <alignment horizontal="center" vertical="center" wrapText="1"/>
    </xf>
    <xf numFmtId="174" fontId="100" fillId="48" borderId="0" xfId="0" applyNumberFormat="1" applyFont="1" applyFill="1" applyAlignment="1">
      <alignment horizontal="center" vertical="center"/>
    </xf>
    <xf numFmtId="174" fontId="12" fillId="48" borderId="0" xfId="0" applyNumberFormat="1" applyFont="1" applyFill="1" applyAlignment="1">
      <alignment horizontal="center"/>
    </xf>
    <xf numFmtId="182" fontId="12" fillId="48" borderId="0" xfId="300" applyNumberFormat="1" applyFont="1" applyFill="1" applyAlignment="1">
      <alignment horizontal="center"/>
    </xf>
    <xf numFmtId="0" fontId="12" fillId="48" borderId="19" xfId="0" applyFont="1" applyFill="1" applyBorder="1" applyAlignment="1">
      <alignment horizontal="center" vertical="center"/>
    </xf>
    <xf numFmtId="193" fontId="12" fillId="48" borderId="0" xfId="300" applyNumberFormat="1" applyFont="1" applyFill="1" applyBorder="1" applyAlignment="1">
      <alignment horizontal="center" vertical="center"/>
    </xf>
    <xf numFmtId="3" fontId="8" fillId="48" borderId="0" xfId="300" applyNumberFormat="1" applyFont="1" applyFill="1" applyBorder="1" applyAlignment="1">
      <alignment horizontal="right" vertical="center" indent="1"/>
    </xf>
    <xf numFmtId="3" fontId="11" fillId="48" borderId="54" xfId="300" applyNumberFormat="1" applyFont="1" applyFill="1" applyBorder="1" applyAlignment="1">
      <alignment horizontal="right" vertical="center" indent="1"/>
    </xf>
    <xf numFmtId="3" fontId="8" fillId="48" borderId="54" xfId="300" applyNumberFormat="1" applyFont="1" applyFill="1" applyBorder="1" applyAlignment="1">
      <alignment horizontal="right" vertical="center" indent="1"/>
    </xf>
    <xf numFmtId="3" fontId="11" fillId="48" borderId="62" xfId="300" applyNumberFormat="1" applyFont="1" applyFill="1" applyBorder="1" applyAlignment="1">
      <alignment horizontal="right" vertical="center" indent="1"/>
    </xf>
    <xf numFmtId="3" fontId="33" fillId="48" borderId="62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0" fontId="8" fillId="0" borderId="19" xfId="323" applyFont="1" applyBorder="1" applyAlignment="1">
      <alignment horizontal="left" vertical="center" indent="3"/>
      <protection/>
    </xf>
    <xf numFmtId="38" fontId="33" fillId="48" borderId="23" xfId="300" applyNumberFormat="1" applyFont="1" applyFill="1" applyBorder="1" applyAlignment="1">
      <alignment horizontal="right" vertical="center" indent="1"/>
    </xf>
    <xf numFmtId="182" fontId="0" fillId="48" borderId="0" xfId="323" applyNumberFormat="1" applyFont="1" applyFill="1" applyBorder="1" applyAlignment="1">
      <alignment vertical="center" wrapText="1"/>
      <protection/>
    </xf>
    <xf numFmtId="0" fontId="3" fillId="48" borderId="0" xfId="0" applyFont="1" applyFill="1" applyBorder="1" applyAlignment="1">
      <alignment horizontal="left" vertical="center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3" fillId="48" borderId="65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0" fontId="11" fillId="48" borderId="0" xfId="0" applyFont="1" applyFill="1" applyBorder="1" applyAlignment="1">
      <alignment horizontal="left" vertical="center" wrapText="1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79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7605.83557022</c:v>
                </c:pt>
                <c:pt idx="1">
                  <c:v>1939.4425583099992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4060.403916129999</c:v>
                </c:pt>
                <c:pt idx="1">
                  <c:v>5484.8742124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8550.116765929999</c:v>
                </c:pt>
                <c:pt idx="1">
                  <c:v>995.1613626000001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4282.542649849999</c:v>
                </c:pt>
                <c:pt idx="1">
                  <c:v>5262.73547868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5262.73547868</c:v>
                </c:pt>
                <c:pt idx="1">
                  <c:v>2665.7776266799997</c:v>
                </c:pt>
                <c:pt idx="2">
                  <c:v>450.81955366000005</c:v>
                </c:pt>
                <c:pt idx="3">
                  <c:v>476.78409389999996</c:v>
                </c:pt>
                <c:pt idx="4">
                  <c:v>689.1613756099999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7205.8962639500005</c:v>
                </c:pt>
                <c:pt idx="1">
                  <c:v>1897.98368945</c:v>
                </c:pt>
                <c:pt idx="2">
                  <c:v>54.44885137</c:v>
                </c:pt>
                <c:pt idx="3">
                  <c:v>386.94932376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"/>
          <c:y val="0.13575"/>
          <c:w val="0.775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'DEP-C1'!$C$12:$BU$13</c:f>
              <c:multiLvlStrCache/>
            </c:multiLvlStrRef>
          </c:cat>
          <c:val>
            <c:numRef>
              <c:f>'DEP-C1'!$C$15:$BU$15</c:f>
              <c:numCache/>
            </c:numRef>
          </c:val>
        </c:ser>
        <c:ser>
          <c:idx val="1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'DEP-C1'!$C$12:$BU$13</c:f>
              <c:multiLvlStrCache/>
            </c:multiLvlStrRef>
          </c:cat>
          <c:val>
            <c:numRef>
              <c:f>'DEP-C1'!$C$16:$BU$16</c:f>
              <c:numCache/>
            </c:numRef>
          </c:val>
        </c:ser>
        <c:axId val="43098420"/>
        <c:axId val="52341461"/>
      </c:bar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8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39375"/>
          <c:w val="0.07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Indice!B6" /><Relationship Id="rId9" Type="http://schemas.openxmlformats.org/officeDocument/2006/relationships/hyperlink" Target="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1047750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3810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61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2192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28"/>
      <c r="C4" s="128"/>
      <c r="D4" s="216"/>
    </row>
    <row r="5" spans="2:4" s="4" customFormat="1" ht="12.75" customHeight="1">
      <c r="B5" s="128"/>
      <c r="C5" s="128"/>
      <c r="D5" s="128"/>
    </row>
    <row r="6" spans="2:7" s="4" customFormat="1" ht="24.75" customHeight="1">
      <c r="B6" s="551" t="s">
        <v>18</v>
      </c>
      <c r="C6" s="551"/>
      <c r="D6" s="551"/>
      <c r="E6" s="551"/>
      <c r="F6" s="551"/>
      <c r="G6" s="551"/>
    </row>
    <row r="7" spans="2:7" s="4" customFormat="1" ht="24.75" customHeight="1">
      <c r="B7" s="552" t="s">
        <v>259</v>
      </c>
      <c r="C7" s="552"/>
      <c r="D7" s="552"/>
      <c r="E7" s="552"/>
      <c r="F7" s="552"/>
      <c r="G7" s="552"/>
    </row>
    <row r="8" spans="2:5" s="4" customFormat="1" ht="15.75" customHeight="1">
      <c r="B8" s="242"/>
      <c r="C8" s="242"/>
      <c r="D8" s="477"/>
      <c r="E8" s="128"/>
    </row>
    <row r="9" spans="2:5" ht="19.5" customHeight="1">
      <c r="B9" s="84"/>
      <c r="C9" s="84"/>
      <c r="D9" s="393" t="s">
        <v>65</v>
      </c>
      <c r="E9" s="84"/>
    </row>
    <row r="10" spans="2:5" s="7" customFormat="1" ht="19.5" customHeight="1">
      <c r="B10" s="180"/>
      <c r="C10" s="180"/>
      <c r="D10" s="393" t="s">
        <v>170</v>
      </c>
      <c r="E10" s="71"/>
    </row>
    <row r="11" spans="2:5" s="7" customFormat="1" ht="19.5" customHeight="1">
      <c r="B11" s="181"/>
      <c r="C11" s="180"/>
      <c r="D11" s="393" t="s">
        <v>171</v>
      </c>
      <c r="E11" s="71"/>
    </row>
    <row r="12" spans="2:5" s="7" customFormat="1" ht="9.75" customHeight="1">
      <c r="B12" s="181"/>
      <c r="C12" s="180"/>
      <c r="D12" s="307"/>
      <c r="E12" s="71"/>
    </row>
    <row r="13" spans="2:8" s="7" customFormat="1" ht="19.5" customHeight="1">
      <c r="B13" s="180" t="s">
        <v>11</v>
      </c>
      <c r="C13" s="180" t="s">
        <v>8</v>
      </c>
      <c r="D13" s="550" t="s">
        <v>209</v>
      </c>
      <c r="E13" s="550"/>
      <c r="F13" s="550"/>
      <c r="G13" s="550"/>
      <c r="H13" s="550"/>
    </row>
    <row r="14" spans="2:6" s="7" customFormat="1" ht="19.5" customHeight="1">
      <c r="B14" s="180" t="s">
        <v>12</v>
      </c>
      <c r="C14" s="180" t="s">
        <v>8</v>
      </c>
      <c r="D14" s="550" t="s">
        <v>150</v>
      </c>
      <c r="E14" s="550"/>
      <c r="F14" s="550"/>
    </row>
    <row r="15" spans="2:6" s="7" customFormat="1" ht="19.5" customHeight="1">
      <c r="B15" s="180" t="s">
        <v>13</v>
      </c>
      <c r="C15" s="180" t="s">
        <v>8</v>
      </c>
      <c r="D15" s="553" t="s">
        <v>37</v>
      </c>
      <c r="E15" s="553"/>
      <c r="F15" s="553"/>
    </row>
    <row r="16" spans="2:6" s="7" customFormat="1" ht="19.5" customHeight="1">
      <c r="B16" s="180" t="s">
        <v>14</v>
      </c>
      <c r="C16" s="180" t="s">
        <v>8</v>
      </c>
      <c r="D16" s="553" t="s">
        <v>32</v>
      </c>
      <c r="E16" s="553"/>
      <c r="F16" s="553"/>
    </row>
    <row r="17" spans="2:6" s="7" customFormat="1" ht="19.5" customHeight="1">
      <c r="B17" s="180" t="s">
        <v>89</v>
      </c>
      <c r="C17" s="180" t="s">
        <v>8</v>
      </c>
      <c r="D17" s="553" t="s">
        <v>1</v>
      </c>
      <c r="E17" s="553"/>
      <c r="F17" s="553"/>
    </row>
    <row r="18" spans="2:6" s="7" customFormat="1" ht="19.5" customHeight="1">
      <c r="B18" s="180" t="s">
        <v>59</v>
      </c>
      <c r="C18" s="180" t="s">
        <v>8</v>
      </c>
      <c r="D18" s="553" t="s">
        <v>57</v>
      </c>
      <c r="E18" s="553"/>
      <c r="F18" s="553"/>
    </row>
    <row r="19" spans="2:6" s="7" customFormat="1" ht="19.5" customHeight="1">
      <c r="B19" s="180" t="s">
        <v>15</v>
      </c>
      <c r="C19" s="180" t="s">
        <v>8</v>
      </c>
      <c r="D19" s="553" t="s">
        <v>103</v>
      </c>
      <c r="E19" s="553"/>
      <c r="F19" s="553"/>
    </row>
    <row r="20" spans="2:6" s="7" customFormat="1" ht="19.5" customHeight="1">
      <c r="B20" s="180" t="s">
        <v>16</v>
      </c>
      <c r="C20" s="180" t="s">
        <v>8</v>
      </c>
      <c r="D20" s="553" t="s">
        <v>58</v>
      </c>
      <c r="E20" s="553"/>
      <c r="F20" s="553"/>
    </row>
    <row r="21" spans="2:5" ht="15">
      <c r="B21" s="84"/>
      <c r="C21" s="84"/>
      <c r="D21" s="182"/>
      <c r="E21" s="84"/>
    </row>
    <row r="22" spans="2:5" ht="12.75">
      <c r="B22" s="84"/>
      <c r="C22" s="84"/>
      <c r="D22" s="183"/>
      <c r="E22" s="84"/>
    </row>
    <row r="23" spans="2:5" ht="12.75">
      <c r="B23" s="84"/>
      <c r="C23" s="84"/>
      <c r="D23" s="183"/>
      <c r="E23" s="84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sumen!B5" display="CUADROS RESUMEN"/>
    <hyperlink ref="D11" location="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B6" display="PORTADA"/>
    <hyperlink ref="D19" location="'Grupo Acreedor'!A1" display="POR GRUPO DEL ACREEDOR"/>
    <hyperlink ref="D14:F14" location="'DEP-C2'!B5" display="POR TIPO DE DEUDA Y TIPO DE EMPRESA"/>
    <hyperlink ref="D16:F16" location="'DEP-C4'!B5" display="POR TIPO DE EMPRESA Y ACREEDOR"/>
    <hyperlink ref="D15:F15" location="'DEP-C3'!B5" display="POR TIPO DE MONEDA"/>
    <hyperlink ref="D17:F17" location="'DEP-C5'!B5" display="POR GRUPO EMPRESARIAL DEL DEUDOR"/>
    <hyperlink ref="D18:F18" location="'DEP-C6'!B5" display="POR GRUPO EMPRESARIAL Y ENTIDAD DEUDORA"/>
    <hyperlink ref="D19:F19" location="'DEP-C7'!B5" display="POR TIPO DE EMPRESA Y GRUPO DEL ACREEDOR "/>
    <hyperlink ref="D13:F13" r:id="rId1" display="EVOLUCIÓN DE LA DEUDA DE LAS EMPRESAS PÚBLICAS"/>
    <hyperlink ref="D13:H13" location="'DEP-C1'!B5" display="EVOLUCIÓN DE LA DEUDA DE LAS EMPRESAS PÚBLICAS - POR TIPO DE DEUDA"/>
    <hyperlink ref="D20:F20" location="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6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5" customWidth="1"/>
    <col min="2" max="2" width="106.8515625" style="85" bestFit="1" customWidth="1"/>
    <col min="3" max="3" width="18.57421875" style="85" customWidth="1"/>
    <col min="4" max="5" width="20.7109375" style="85" customWidth="1"/>
    <col min="6" max="6" width="11.421875" style="84" customWidth="1"/>
    <col min="7" max="16384" width="11.421875" style="85" customWidth="1"/>
  </cols>
  <sheetData>
    <row r="1" spans="2:3" ht="12.75">
      <c r="B1" s="101"/>
      <c r="C1" s="101"/>
    </row>
    <row r="2" spans="2:3" ht="12.75">
      <c r="B2" s="101"/>
      <c r="C2" s="101"/>
    </row>
    <row r="3" spans="2:3" ht="12.75">
      <c r="B3" s="101"/>
      <c r="C3" s="101"/>
    </row>
    <row r="4" spans="2:3" ht="24.75" customHeight="1">
      <c r="B4" s="101"/>
      <c r="C4" s="101"/>
    </row>
    <row r="5" spans="2:5" ht="18">
      <c r="B5" s="127" t="s">
        <v>59</v>
      </c>
      <c r="C5" s="127"/>
      <c r="D5" s="127"/>
      <c r="E5" s="127"/>
    </row>
    <row r="6" spans="2:6" s="87" customFormat="1" ht="18.75">
      <c r="B6" s="309" t="s">
        <v>133</v>
      </c>
      <c r="C6" s="309"/>
      <c r="D6" s="309"/>
      <c r="E6" s="309"/>
      <c r="F6" s="86"/>
    </row>
    <row r="7" spans="2:6" s="87" customFormat="1" ht="18.75">
      <c r="B7" s="309" t="s">
        <v>132</v>
      </c>
      <c r="C7" s="309"/>
      <c r="D7" s="309"/>
      <c r="E7" s="256"/>
      <c r="F7" s="86"/>
    </row>
    <row r="8" spans="2:6" s="87" customFormat="1" ht="18.75">
      <c r="B8" s="333" t="s">
        <v>57</v>
      </c>
      <c r="C8" s="353"/>
      <c r="D8" s="353"/>
      <c r="E8" s="353"/>
      <c r="F8" s="86"/>
    </row>
    <row r="9" spans="2:6" s="87" customFormat="1" ht="18.75">
      <c r="B9" s="131" t="str">
        <f>+'DEP-C2'!B9</f>
        <v>Al 30 de abril de 2024</v>
      </c>
      <c r="C9" s="354"/>
      <c r="D9" s="261"/>
      <c r="E9" s="261"/>
      <c r="F9" s="308">
        <f>+Portada!H39</f>
        <v>3.752</v>
      </c>
    </row>
    <row r="10" spans="2:5" ht="9.75" customHeight="1">
      <c r="B10" s="629"/>
      <c r="C10" s="629"/>
      <c r="D10" s="629"/>
      <c r="E10" s="629"/>
    </row>
    <row r="11" spans="2:5" ht="18" customHeight="1">
      <c r="B11" s="625" t="s">
        <v>94</v>
      </c>
      <c r="C11" s="625" t="s">
        <v>26</v>
      </c>
      <c r="D11" s="640" t="s">
        <v>85</v>
      </c>
      <c r="E11" s="638" t="s">
        <v>161</v>
      </c>
    </row>
    <row r="12" spans="2:6" s="80" customFormat="1" ht="18" customHeight="1">
      <c r="B12" s="626"/>
      <c r="C12" s="626"/>
      <c r="D12" s="628"/>
      <c r="E12" s="639"/>
      <c r="F12" s="88"/>
    </row>
    <row r="13" spans="2:6" s="80" customFormat="1" ht="9.75" customHeight="1">
      <c r="B13" s="108"/>
      <c r="C13" s="259"/>
      <c r="D13" s="92"/>
      <c r="E13" s="262"/>
      <c r="F13" s="88"/>
    </row>
    <row r="14" spans="2:6" s="65" customFormat="1" ht="16.5" customHeight="1">
      <c r="B14" s="359" t="s">
        <v>210</v>
      </c>
      <c r="C14" s="520"/>
      <c r="D14" s="540">
        <f>SUM(D15:D30)</f>
        <v>4487599.528690001</v>
      </c>
      <c r="E14" s="368">
        <f>SUM(E15:E30)</f>
        <v>16837473.431644887</v>
      </c>
      <c r="F14" s="71"/>
    </row>
    <row r="15" spans="2:6" s="65" customFormat="1" ht="16.5" customHeight="1">
      <c r="B15" s="91" t="s">
        <v>166</v>
      </c>
      <c r="C15" s="526" t="s">
        <v>90</v>
      </c>
      <c r="D15" s="539">
        <v>2133182.3870100006</v>
      </c>
      <c r="E15" s="369">
        <f aca="true" t="shared" si="0" ref="E15:E30">ROUND(D15*$F$9,8)</f>
        <v>8003700.31606152</v>
      </c>
      <c r="F15" s="71"/>
    </row>
    <row r="16" spans="2:6" s="65" customFormat="1" ht="16.5" customHeight="1">
      <c r="B16" s="91" t="s">
        <v>204</v>
      </c>
      <c r="C16" s="526" t="s">
        <v>90</v>
      </c>
      <c r="D16" s="539">
        <v>1863864.8431300009</v>
      </c>
      <c r="E16" s="369">
        <f t="shared" si="0"/>
        <v>6993220.89142376</v>
      </c>
      <c r="F16" s="71"/>
    </row>
    <row r="17" spans="2:6" s="65" customFormat="1" ht="16.5" customHeight="1">
      <c r="B17" s="91" t="s">
        <v>202</v>
      </c>
      <c r="C17" s="526" t="s">
        <v>91</v>
      </c>
      <c r="D17" s="539">
        <v>370787.57620999997</v>
      </c>
      <c r="E17" s="369">
        <f t="shared" si="0"/>
        <v>1391194.98593992</v>
      </c>
      <c r="F17" s="71"/>
    </row>
    <row r="18" spans="2:6" s="65" customFormat="1" ht="16.5" customHeight="1">
      <c r="B18" s="91" t="s">
        <v>167</v>
      </c>
      <c r="C18" s="526" t="s">
        <v>91</v>
      </c>
      <c r="D18" s="539">
        <v>26448.11657</v>
      </c>
      <c r="E18" s="369">
        <f t="shared" si="0"/>
        <v>99233.33337064</v>
      </c>
      <c r="F18" s="71"/>
    </row>
    <row r="19" spans="2:6" s="65" customFormat="1" ht="16.5" customHeight="1">
      <c r="B19" s="91" t="s">
        <v>190</v>
      </c>
      <c r="C19" s="526" t="s">
        <v>91</v>
      </c>
      <c r="D19" s="539">
        <v>24828.17447</v>
      </c>
      <c r="E19" s="369">
        <f t="shared" si="0"/>
        <v>93155.31061144</v>
      </c>
      <c r="F19" s="71"/>
    </row>
    <row r="20" spans="2:6" s="65" customFormat="1" ht="16.5" customHeight="1">
      <c r="B20" s="91" t="s">
        <v>189</v>
      </c>
      <c r="C20" s="526" t="s">
        <v>91</v>
      </c>
      <c r="D20" s="539">
        <v>17140.47776</v>
      </c>
      <c r="E20" s="369">
        <f t="shared" si="0"/>
        <v>64311.07255552</v>
      </c>
      <c r="F20" s="71"/>
    </row>
    <row r="21" spans="2:6" s="65" customFormat="1" ht="16.5" customHeight="1">
      <c r="B21" s="91" t="s">
        <v>243</v>
      </c>
      <c r="C21" s="526" t="s">
        <v>91</v>
      </c>
      <c r="D21" s="539">
        <v>15325.15992</v>
      </c>
      <c r="E21" s="369">
        <f t="shared" si="0"/>
        <v>57500.00001984</v>
      </c>
      <c r="F21" s="71"/>
    </row>
    <row r="22" spans="2:6" s="65" customFormat="1" ht="16.5" customHeight="1">
      <c r="B22" s="91" t="s">
        <v>165</v>
      </c>
      <c r="C22" s="526" t="s">
        <v>91</v>
      </c>
      <c r="D22" s="539">
        <v>11256.96009</v>
      </c>
      <c r="E22" s="369">
        <f t="shared" si="0"/>
        <v>42236.11425768</v>
      </c>
      <c r="F22" s="71"/>
    </row>
    <row r="23" spans="2:6" s="65" customFormat="1" ht="16.5" customHeight="1">
      <c r="B23" s="91" t="s">
        <v>122</v>
      </c>
      <c r="C23" s="526" t="s">
        <v>90</v>
      </c>
      <c r="D23" s="539">
        <v>10051.781939999999</v>
      </c>
      <c r="E23" s="369">
        <f t="shared" si="0"/>
        <v>37714.28583888</v>
      </c>
      <c r="F23" s="71"/>
    </row>
    <row r="24" spans="2:6" s="65" customFormat="1" ht="16.5" customHeight="1">
      <c r="B24" s="91" t="s">
        <v>164</v>
      </c>
      <c r="C24" s="526" t="s">
        <v>91</v>
      </c>
      <c r="D24" s="539">
        <v>7166.12122</v>
      </c>
      <c r="E24" s="369">
        <f t="shared" si="0"/>
        <v>26887.28681744</v>
      </c>
      <c r="F24" s="71"/>
    </row>
    <row r="25" spans="2:6" s="65" customFormat="1" ht="16.5" customHeight="1">
      <c r="B25" s="91" t="s">
        <v>239</v>
      </c>
      <c r="C25" s="526" t="s">
        <v>91</v>
      </c>
      <c r="D25" s="539">
        <v>3997.8678</v>
      </c>
      <c r="E25" s="369">
        <f t="shared" si="0"/>
        <v>14999.9999856</v>
      </c>
      <c r="F25" s="71"/>
    </row>
    <row r="26" spans="2:6" s="65" customFormat="1" ht="16.5" customHeight="1">
      <c r="B26" s="91" t="s">
        <v>228</v>
      </c>
      <c r="C26" s="526" t="s">
        <v>91</v>
      </c>
      <c r="D26" s="539">
        <v>2553.55874</v>
      </c>
      <c r="E26" s="369">
        <f t="shared" si="0"/>
        <v>9580.95239248</v>
      </c>
      <c r="F26" s="71"/>
    </row>
    <row r="27" spans="2:6" s="65" customFormat="1" ht="16.5" customHeight="1" hidden="1">
      <c r="B27" s="91" t="str">
        <f>$B$70</f>
        <v>Empresa Regional de Servicio Público de Electricidad del Centro</v>
      </c>
      <c r="C27" s="526" t="s">
        <v>91</v>
      </c>
      <c r="D27" s="539"/>
      <c r="E27" s="369">
        <f t="shared" si="0"/>
        <v>0</v>
      </c>
      <c r="F27" s="71"/>
    </row>
    <row r="28" spans="2:6" s="65" customFormat="1" ht="16.5" customHeight="1" hidden="1">
      <c r="B28" s="91" t="s">
        <v>188</v>
      </c>
      <c r="C28" s="526" t="s">
        <v>91</v>
      </c>
      <c r="D28" s="539"/>
      <c r="E28" s="369">
        <f t="shared" si="0"/>
        <v>0</v>
      </c>
      <c r="F28" s="71"/>
    </row>
    <row r="29" spans="2:6" s="65" customFormat="1" ht="16.5" customHeight="1">
      <c r="B29" s="66" t="s">
        <v>155</v>
      </c>
      <c r="C29" s="526" t="s">
        <v>91</v>
      </c>
      <c r="D29" s="539">
        <v>463.45479</v>
      </c>
      <c r="E29" s="369">
        <f t="shared" si="0"/>
        <v>1738.88237208</v>
      </c>
      <c r="F29" s="71"/>
    </row>
    <row r="30" spans="2:6" s="65" customFormat="1" ht="16.5" customHeight="1">
      <c r="B30" s="91" t="s">
        <v>236</v>
      </c>
      <c r="C30" s="526" t="s">
        <v>91</v>
      </c>
      <c r="D30" s="539">
        <v>533.04904</v>
      </c>
      <c r="E30" s="369">
        <f t="shared" si="0"/>
        <v>1999.99999808</v>
      </c>
      <c r="F30" s="71"/>
    </row>
    <row r="31" spans="2:6" s="65" customFormat="1" ht="12" customHeight="1">
      <c r="B31" s="91"/>
      <c r="C31" s="522"/>
      <c r="D31" s="541"/>
      <c r="E31" s="369"/>
      <c r="F31" s="71"/>
    </row>
    <row r="32" spans="2:7" s="65" customFormat="1" ht="16.5" customHeight="1">
      <c r="B32" s="359" t="s">
        <v>113</v>
      </c>
      <c r="C32" s="520"/>
      <c r="D32" s="540">
        <f>SUM(D33:D44)</f>
        <v>51406.12615999999</v>
      </c>
      <c r="E32" s="368">
        <f>SUM(E33:E44)</f>
        <v>192875.78535232</v>
      </c>
      <c r="F32" s="89"/>
      <c r="G32" s="89"/>
    </row>
    <row r="33" spans="2:9" s="90" customFormat="1" ht="16.5" customHeight="1">
      <c r="B33" s="91" t="s">
        <v>193</v>
      </c>
      <c r="C33" s="526" t="s">
        <v>91</v>
      </c>
      <c r="D33" s="539">
        <v>29001.90972</v>
      </c>
      <c r="E33" s="369">
        <f aca="true" t="shared" si="1" ref="E33:E44">ROUND(D33*$F$9,8)</f>
        <v>108815.16526944</v>
      </c>
      <c r="F33" s="89"/>
      <c r="G33" s="89"/>
      <c r="H33" s="65"/>
      <c r="I33" s="65"/>
    </row>
    <row r="34" spans="2:9" s="90" customFormat="1" ht="16.5" customHeight="1">
      <c r="B34" s="91" t="s">
        <v>201</v>
      </c>
      <c r="C34" s="526" t="s">
        <v>91</v>
      </c>
      <c r="D34" s="539">
        <v>5043.88897</v>
      </c>
      <c r="E34" s="369">
        <f t="shared" si="1"/>
        <v>18924.67141544</v>
      </c>
      <c r="F34" s="89"/>
      <c r="G34" s="89"/>
      <c r="H34" s="65"/>
      <c r="I34" s="65"/>
    </row>
    <row r="35" spans="2:9" s="90" customFormat="1" ht="16.5" customHeight="1">
      <c r="B35" s="91" t="s">
        <v>191</v>
      </c>
      <c r="C35" s="526" t="s">
        <v>91</v>
      </c>
      <c r="D35" s="539">
        <v>4401.57042</v>
      </c>
      <c r="E35" s="369">
        <f t="shared" si="1"/>
        <v>16514.69221584</v>
      </c>
      <c r="F35" s="89"/>
      <c r="G35" s="89"/>
      <c r="H35" s="65"/>
      <c r="I35" s="65"/>
    </row>
    <row r="36" spans="2:9" s="90" customFormat="1" ht="16.5" customHeight="1">
      <c r="B36" s="66" t="s">
        <v>67</v>
      </c>
      <c r="C36" s="526" t="s">
        <v>91</v>
      </c>
      <c r="D36" s="539">
        <v>2749.67602</v>
      </c>
      <c r="E36" s="369">
        <f t="shared" si="1"/>
        <v>10316.78442704</v>
      </c>
      <c r="F36" s="89"/>
      <c r="G36" s="89"/>
      <c r="H36" s="65"/>
      <c r="I36" s="65"/>
    </row>
    <row r="37" spans="2:9" s="90" customFormat="1" ht="16.5" customHeight="1">
      <c r="B37" s="91" t="s">
        <v>192</v>
      </c>
      <c r="C37" s="526" t="s">
        <v>91</v>
      </c>
      <c r="D37" s="539">
        <v>2327.57245</v>
      </c>
      <c r="E37" s="369">
        <f t="shared" si="1"/>
        <v>8733.0518324</v>
      </c>
      <c r="F37" s="89"/>
      <c r="G37" s="89"/>
      <c r="H37" s="65"/>
      <c r="I37" s="65"/>
    </row>
    <row r="38" spans="2:9" s="90" customFormat="1" ht="16.5" customHeight="1">
      <c r="B38" s="66" t="s">
        <v>199</v>
      </c>
      <c r="C38" s="526" t="s">
        <v>91</v>
      </c>
      <c r="D38" s="539">
        <v>2296.97654</v>
      </c>
      <c r="E38" s="369">
        <f t="shared" si="1"/>
        <v>8618.25597808</v>
      </c>
      <c r="F38" s="89"/>
      <c r="G38" s="89"/>
      <c r="H38" s="65"/>
      <c r="I38" s="65"/>
    </row>
    <row r="39" spans="2:9" s="90" customFormat="1" ht="16.5" customHeight="1">
      <c r="B39" s="66" t="s">
        <v>48</v>
      </c>
      <c r="C39" s="526" t="s">
        <v>91</v>
      </c>
      <c r="D39" s="539">
        <v>2002.1633</v>
      </c>
      <c r="E39" s="369">
        <f t="shared" si="1"/>
        <v>7512.1167016</v>
      </c>
      <c r="F39" s="89"/>
      <c r="G39" s="89"/>
      <c r="H39" s="65"/>
      <c r="I39" s="65"/>
    </row>
    <row r="40" spans="2:9" s="90" customFormat="1" ht="16.5" customHeight="1">
      <c r="B40" s="66" t="s">
        <v>43</v>
      </c>
      <c r="C40" s="526" t="s">
        <v>91</v>
      </c>
      <c r="D40" s="539">
        <v>1633.2323700000002</v>
      </c>
      <c r="E40" s="369">
        <f t="shared" si="1"/>
        <v>6127.88785224</v>
      </c>
      <c r="F40" s="89"/>
      <c r="G40" s="89"/>
      <c r="H40" s="65"/>
      <c r="I40" s="65"/>
    </row>
    <row r="41" spans="2:9" s="90" customFormat="1" ht="16.5" customHeight="1">
      <c r="B41" s="66" t="s">
        <v>50</v>
      </c>
      <c r="C41" s="526" t="s">
        <v>91</v>
      </c>
      <c r="D41" s="539">
        <v>1129.86653</v>
      </c>
      <c r="E41" s="369">
        <f t="shared" si="1"/>
        <v>4239.25922056</v>
      </c>
      <c r="F41" s="89"/>
      <c r="G41" s="89"/>
      <c r="H41" s="65"/>
      <c r="I41" s="65"/>
    </row>
    <row r="42" spans="2:9" s="90" customFormat="1" ht="16.5" customHeight="1">
      <c r="B42" s="66" t="s">
        <v>200</v>
      </c>
      <c r="C42" s="526" t="s">
        <v>91</v>
      </c>
      <c r="D42" s="539">
        <v>424.7245</v>
      </c>
      <c r="E42" s="369">
        <f t="shared" si="1"/>
        <v>1593.566324</v>
      </c>
      <c r="F42" s="89"/>
      <c r="G42" s="89"/>
      <c r="H42" s="65"/>
      <c r="I42" s="65"/>
    </row>
    <row r="43" spans="2:9" s="90" customFormat="1" ht="16.5" customHeight="1">
      <c r="B43" s="66" t="s">
        <v>221</v>
      </c>
      <c r="C43" s="526" t="s">
        <v>91</v>
      </c>
      <c r="D43" s="539">
        <v>393.54178</v>
      </c>
      <c r="E43" s="369">
        <f t="shared" si="1"/>
        <v>1476.56875856</v>
      </c>
      <c r="F43" s="89"/>
      <c r="G43" s="89"/>
      <c r="H43" s="65"/>
      <c r="I43" s="65"/>
    </row>
    <row r="44" spans="2:9" s="90" customFormat="1" ht="16.5" customHeight="1">
      <c r="B44" s="66" t="s">
        <v>42</v>
      </c>
      <c r="C44" s="526" t="s">
        <v>91</v>
      </c>
      <c r="D44" s="539">
        <v>1.00356</v>
      </c>
      <c r="E44" s="369">
        <f t="shared" si="1"/>
        <v>3.76535712</v>
      </c>
      <c r="F44" s="89"/>
      <c r="G44" s="89"/>
      <c r="H44" s="65"/>
      <c r="I44" s="65"/>
    </row>
    <row r="45" spans="2:7" s="65" customFormat="1" ht="12" customHeight="1">
      <c r="B45" s="91"/>
      <c r="C45" s="522"/>
      <c r="D45" s="541"/>
      <c r="E45" s="369"/>
      <c r="F45" s="89"/>
      <c r="G45" s="89"/>
    </row>
    <row r="46" spans="2:9" s="90" customFormat="1" ht="16.5" customHeight="1">
      <c r="B46" s="359" t="s">
        <v>84</v>
      </c>
      <c r="C46" s="520"/>
      <c r="D46" s="501">
        <f>+D47</f>
        <v>4011111.11108</v>
      </c>
      <c r="E46" s="518">
        <f>+E47</f>
        <v>15049688.8887722</v>
      </c>
      <c r="F46" s="89"/>
      <c r="G46" s="89"/>
      <c r="H46" s="65"/>
      <c r="I46" s="65"/>
    </row>
    <row r="47" spans="2:9" s="90" customFormat="1" ht="16.5" customHeight="1">
      <c r="B47" s="91" t="s">
        <v>194</v>
      </c>
      <c r="C47" s="522" t="s">
        <v>91</v>
      </c>
      <c r="D47" s="514">
        <v>4011111.11108</v>
      </c>
      <c r="E47" s="451">
        <f>ROUND(D47*$F$9,8)</f>
        <v>15049688.8887722</v>
      </c>
      <c r="F47" s="89"/>
      <c r="G47" s="89"/>
      <c r="H47" s="65"/>
      <c r="I47" s="65"/>
    </row>
    <row r="48" spans="2:7" s="65" customFormat="1" ht="9.75" customHeight="1">
      <c r="B48" s="82"/>
      <c r="C48" s="83"/>
      <c r="D48" s="455"/>
      <c r="E48" s="454"/>
      <c r="F48" s="89"/>
      <c r="G48" s="428"/>
    </row>
    <row r="49" spans="2:9" s="80" customFormat="1" ht="15" customHeight="1">
      <c r="B49" s="621" t="s">
        <v>60</v>
      </c>
      <c r="C49" s="641"/>
      <c r="D49" s="644">
        <f>+D32+D14+D46</f>
        <v>8550116.76593</v>
      </c>
      <c r="E49" s="623">
        <f>+E32+E14+E46</f>
        <v>32080038.105769407</v>
      </c>
      <c r="F49" s="89"/>
      <c r="G49" s="428"/>
      <c r="H49" s="65"/>
      <c r="I49" s="65"/>
    </row>
    <row r="50" spans="2:9" s="80" customFormat="1" ht="15" customHeight="1">
      <c r="B50" s="622"/>
      <c r="C50" s="642"/>
      <c r="D50" s="645"/>
      <c r="E50" s="624"/>
      <c r="F50" s="89"/>
      <c r="G50" s="428"/>
      <c r="H50" s="65"/>
      <c r="I50" s="65"/>
    </row>
    <row r="51" spans="2:9" ht="15">
      <c r="B51" s="138"/>
      <c r="C51" s="138"/>
      <c r="D51" s="489"/>
      <c r="E51" s="489"/>
      <c r="F51" s="89"/>
      <c r="G51" s="428"/>
      <c r="H51" s="65"/>
      <c r="I51" s="65"/>
    </row>
    <row r="52" spans="2:9" ht="15">
      <c r="B52" s="138"/>
      <c r="C52" s="138"/>
      <c r="D52" s="437"/>
      <c r="E52" s="406"/>
      <c r="F52" s="89"/>
      <c r="G52" s="428"/>
      <c r="H52" s="65"/>
      <c r="I52" s="65"/>
    </row>
    <row r="53" spans="2:9" ht="15">
      <c r="B53" s="138"/>
      <c r="C53" s="138"/>
      <c r="D53" s="407"/>
      <c r="E53" s="408"/>
      <c r="F53" s="89"/>
      <c r="G53" s="428"/>
      <c r="H53" s="65"/>
      <c r="I53" s="65"/>
    </row>
    <row r="54" spans="2:9" ht="15">
      <c r="B54" s="138"/>
      <c r="C54" s="408"/>
      <c r="D54" s="407"/>
      <c r="E54" s="408"/>
      <c r="F54" s="89"/>
      <c r="G54" s="428"/>
      <c r="H54" s="65"/>
      <c r="I54" s="65"/>
    </row>
    <row r="55" spans="2:9" ht="15">
      <c r="B55" s="138"/>
      <c r="C55" s="138"/>
      <c r="D55" s="409"/>
      <c r="E55" s="409"/>
      <c r="F55" s="89"/>
      <c r="G55" s="65"/>
      <c r="H55" s="65"/>
      <c r="I55" s="65"/>
    </row>
    <row r="56" spans="2:7" ht="18">
      <c r="B56" s="355" t="s">
        <v>118</v>
      </c>
      <c r="C56" s="355"/>
      <c r="D56" s="355"/>
      <c r="E56" s="355"/>
      <c r="F56" s="405"/>
      <c r="G56" s="428"/>
    </row>
    <row r="57" spans="2:7" s="87" customFormat="1" ht="18.75">
      <c r="B57" s="356" t="s">
        <v>133</v>
      </c>
      <c r="C57" s="356"/>
      <c r="D57" s="356"/>
      <c r="E57" s="356"/>
      <c r="F57" s="405"/>
      <c r="G57" s="428"/>
    </row>
    <row r="58" spans="2:7" s="87" customFormat="1" ht="18.75">
      <c r="B58" s="356" t="s">
        <v>134</v>
      </c>
      <c r="C58" s="356"/>
      <c r="D58" s="356"/>
      <c r="E58" s="251"/>
      <c r="F58" s="405"/>
      <c r="G58" s="65"/>
    </row>
    <row r="59" spans="2:7" s="87" customFormat="1" ht="18.75">
      <c r="B59" s="358" t="s">
        <v>57</v>
      </c>
      <c r="C59" s="357"/>
      <c r="D59" s="357"/>
      <c r="E59" s="357"/>
      <c r="F59" s="405"/>
      <c r="G59" s="65"/>
    </row>
    <row r="60" spans="2:7" s="87" customFormat="1" ht="18.75">
      <c r="B60" s="131" t="str">
        <f>+B9</f>
        <v>Al 30 de abril de 2024</v>
      </c>
      <c r="C60" s="354"/>
      <c r="D60" s="250"/>
      <c r="E60" s="250"/>
      <c r="F60" s="405"/>
      <c r="G60" s="65"/>
    </row>
    <row r="61" spans="2:7" ht="6" customHeight="1">
      <c r="B61" s="643"/>
      <c r="C61" s="643"/>
      <c r="D61" s="643"/>
      <c r="E61" s="643"/>
      <c r="F61" s="405"/>
      <c r="G61" s="65"/>
    </row>
    <row r="62" spans="2:5" ht="18" customHeight="1">
      <c r="B62" s="625" t="s">
        <v>94</v>
      </c>
      <c r="C62" s="625" t="s">
        <v>26</v>
      </c>
      <c r="D62" s="640" t="s">
        <v>85</v>
      </c>
      <c r="E62" s="638" t="s">
        <v>161</v>
      </c>
    </row>
    <row r="63" spans="2:6" s="80" customFormat="1" ht="18" customHeight="1">
      <c r="B63" s="626"/>
      <c r="C63" s="626"/>
      <c r="D63" s="628"/>
      <c r="E63" s="639"/>
      <c r="F63" s="88"/>
    </row>
    <row r="64" spans="2:6" s="80" customFormat="1" ht="9.75" customHeight="1">
      <c r="B64" s="108"/>
      <c r="C64" s="249"/>
      <c r="D64" s="497"/>
      <c r="E64" s="137"/>
      <c r="F64" s="88"/>
    </row>
    <row r="65" spans="2:7" s="65" customFormat="1" ht="16.5" customHeight="1">
      <c r="B65" s="359" t="s">
        <v>83</v>
      </c>
      <c r="C65" s="359"/>
      <c r="D65" s="542">
        <f>SUM(D66:D75)</f>
        <v>486959.61707000004</v>
      </c>
      <c r="E65" s="452">
        <f>SUM(E66:E75)</f>
        <v>1827072.4832466398</v>
      </c>
      <c r="F65" s="71"/>
      <c r="G65" s="71"/>
    </row>
    <row r="66" spans="2:7" s="65" customFormat="1" ht="16.5" customHeight="1">
      <c r="B66" s="91" t="s">
        <v>190</v>
      </c>
      <c r="C66" s="526" t="s">
        <v>91</v>
      </c>
      <c r="D66" s="369">
        <v>109466.01856</v>
      </c>
      <c r="E66" s="451">
        <f aca="true" t="shared" si="2" ref="E66:E75">ROUND(D66*$F$9,8)</f>
        <v>410716.50163712</v>
      </c>
      <c r="F66" s="71"/>
      <c r="G66" s="71"/>
    </row>
    <row r="67" spans="2:7" s="65" customFormat="1" ht="16.5" customHeight="1">
      <c r="B67" s="91" t="s">
        <v>244</v>
      </c>
      <c r="C67" s="526" t="s">
        <v>91</v>
      </c>
      <c r="D67" s="369">
        <v>94208.82027999999</v>
      </c>
      <c r="E67" s="451">
        <f t="shared" si="2"/>
        <v>353471.49369056</v>
      </c>
      <c r="F67" s="71"/>
      <c r="G67" s="71"/>
    </row>
    <row r="68" spans="2:7" s="65" customFormat="1" ht="16.5" customHeight="1">
      <c r="B68" s="91" t="s">
        <v>167</v>
      </c>
      <c r="C68" s="526" t="s">
        <v>91</v>
      </c>
      <c r="D68" s="369">
        <v>64143.567820000004</v>
      </c>
      <c r="E68" s="451">
        <f t="shared" si="2"/>
        <v>240666.66646064</v>
      </c>
      <c r="F68" s="71"/>
      <c r="G68" s="71"/>
    </row>
    <row r="69" spans="2:7" s="65" customFormat="1" ht="16.5" customHeight="1">
      <c r="B69" s="91" t="s">
        <v>166</v>
      </c>
      <c r="C69" s="526" t="s">
        <v>90</v>
      </c>
      <c r="D69" s="369">
        <v>53304.90405</v>
      </c>
      <c r="E69" s="451">
        <f t="shared" si="2"/>
        <v>199999.9999956</v>
      </c>
      <c r="F69" s="71"/>
      <c r="G69" s="71"/>
    </row>
    <row r="70" spans="2:7" s="65" customFormat="1" ht="16.5" customHeight="1">
      <c r="B70" s="91" t="s">
        <v>211</v>
      </c>
      <c r="C70" s="526" t="s">
        <v>91</v>
      </c>
      <c r="D70" s="369">
        <v>48581.90723</v>
      </c>
      <c r="E70" s="451">
        <f t="shared" si="2"/>
        <v>182279.31592696</v>
      </c>
      <c r="F70" s="71"/>
      <c r="G70" s="71"/>
    </row>
    <row r="71" spans="2:7" s="65" customFormat="1" ht="16.5" customHeight="1" hidden="1">
      <c r="B71" s="91" t="s">
        <v>223</v>
      </c>
      <c r="C71" s="526" t="s">
        <v>91</v>
      </c>
      <c r="D71" s="369">
        <v>41601.41405000001</v>
      </c>
      <c r="E71" s="451">
        <f t="shared" si="2"/>
        <v>156088.5055156</v>
      </c>
      <c r="F71" s="71"/>
      <c r="G71" s="71"/>
    </row>
    <row r="72" spans="2:7" s="65" customFormat="1" ht="16.5" customHeight="1">
      <c r="B72" s="91" t="s">
        <v>164</v>
      </c>
      <c r="C72" s="526" t="s">
        <v>91</v>
      </c>
      <c r="D72" s="369">
        <v>39179.104479999995</v>
      </c>
      <c r="E72" s="451">
        <f t="shared" si="2"/>
        <v>147000.00000896</v>
      </c>
      <c r="F72" s="71"/>
      <c r="G72" s="71"/>
    </row>
    <row r="73" spans="2:7" s="65" customFormat="1" ht="16.5" customHeight="1">
      <c r="B73" s="91" t="s">
        <v>188</v>
      </c>
      <c r="C73" s="526" t="s">
        <v>91</v>
      </c>
      <c r="D73" s="369">
        <v>30650.319840000004</v>
      </c>
      <c r="E73" s="451">
        <f t="shared" si="2"/>
        <v>115000.00003968</v>
      </c>
      <c r="F73" s="71"/>
      <c r="G73" s="71"/>
    </row>
    <row r="74" spans="2:7" s="65" customFormat="1" ht="16.5" customHeight="1">
      <c r="B74" s="91" t="s">
        <v>241</v>
      </c>
      <c r="C74" s="526" t="s">
        <v>91</v>
      </c>
      <c r="D74" s="369">
        <v>3158.31556</v>
      </c>
      <c r="E74" s="451">
        <f t="shared" si="2"/>
        <v>11849.99998112</v>
      </c>
      <c r="F74" s="71"/>
      <c r="G74" s="71"/>
    </row>
    <row r="75" spans="2:7" s="65" customFormat="1" ht="16.5" customHeight="1">
      <c r="B75" s="91" t="s">
        <v>189</v>
      </c>
      <c r="C75" s="526" t="s">
        <v>91</v>
      </c>
      <c r="D75" s="369">
        <v>2665.2452000000003</v>
      </c>
      <c r="E75" s="451">
        <f t="shared" si="2"/>
        <v>9999.9999904</v>
      </c>
      <c r="F75" s="71"/>
      <c r="G75" s="71"/>
    </row>
    <row r="76" spans="2:7" s="65" customFormat="1" ht="12" customHeight="1">
      <c r="B76" s="70"/>
      <c r="C76" s="523"/>
      <c r="D76" s="543"/>
      <c r="E76" s="450"/>
      <c r="F76" s="71"/>
      <c r="G76" s="71"/>
    </row>
    <row r="77" spans="2:7" s="90" customFormat="1" ht="16.5" customHeight="1">
      <c r="B77" s="359" t="s">
        <v>156</v>
      </c>
      <c r="C77" s="523"/>
      <c r="D77" s="542">
        <f>+D78</f>
        <v>508201.74553</v>
      </c>
      <c r="E77" s="452">
        <f>+E78</f>
        <v>1906772.94922856</v>
      </c>
      <c r="F77" s="71"/>
      <c r="G77" s="428"/>
    </row>
    <row r="78" spans="2:7" s="90" customFormat="1" ht="16.5" customHeight="1">
      <c r="B78" s="91" t="s">
        <v>194</v>
      </c>
      <c r="C78" s="521" t="s">
        <v>91</v>
      </c>
      <c r="D78" s="369">
        <v>508201.74553</v>
      </c>
      <c r="E78" s="451">
        <f>ROUND(D78*$F$9,8)</f>
        <v>1906772.94922856</v>
      </c>
      <c r="F78" s="71"/>
      <c r="G78" s="428"/>
    </row>
    <row r="79" spans="2:7" s="65" customFormat="1" ht="9.75" customHeight="1">
      <c r="B79" s="82"/>
      <c r="C79" s="82"/>
      <c r="D79" s="454"/>
      <c r="E79" s="499"/>
      <c r="F79" s="71"/>
      <c r="G79" s="428"/>
    </row>
    <row r="80" spans="2:7" s="80" customFormat="1" ht="15" customHeight="1">
      <c r="B80" s="621" t="s">
        <v>60</v>
      </c>
      <c r="C80" s="641"/>
      <c r="D80" s="623">
        <f>+D65+D77</f>
        <v>995161.3626000001</v>
      </c>
      <c r="E80" s="632">
        <f>+E65+E77</f>
        <v>3733845.4324752</v>
      </c>
      <c r="F80" s="71"/>
      <c r="G80" s="428"/>
    </row>
    <row r="81" spans="2:6" s="80" customFormat="1" ht="15" customHeight="1">
      <c r="B81" s="622"/>
      <c r="C81" s="642"/>
      <c r="D81" s="624"/>
      <c r="E81" s="633"/>
      <c r="F81" s="88"/>
    </row>
    <row r="82" spans="4:5" ht="12.75">
      <c r="D82" s="189"/>
      <c r="E82" s="189"/>
    </row>
    <row r="83" spans="2:5" ht="15">
      <c r="B83" s="132"/>
      <c r="D83" s="360"/>
      <c r="E83" s="285"/>
    </row>
    <row r="84" spans="2:5" ht="15">
      <c r="B84" s="132"/>
      <c r="D84" s="360"/>
      <c r="E84" s="285"/>
    </row>
    <row r="85" spans="4:5" ht="12.75">
      <c r="D85" s="286"/>
      <c r="E85" s="286"/>
    </row>
    <row r="86" spans="4:5" ht="12.75">
      <c r="D86" s="239"/>
      <c r="E86" s="239"/>
    </row>
  </sheetData>
  <sheetProtection/>
  <mergeCells count="18">
    <mergeCell ref="B62:B63"/>
    <mergeCell ref="C62:C63"/>
    <mergeCell ref="D62:D63"/>
    <mergeCell ref="E62:E63"/>
    <mergeCell ref="B49:B50"/>
    <mergeCell ref="C49:C50"/>
    <mergeCell ref="D49:D50"/>
    <mergeCell ref="E49:E50"/>
    <mergeCell ref="B10:E10"/>
    <mergeCell ref="B11:B12"/>
    <mergeCell ref="C11:C12"/>
    <mergeCell ref="E11:E12"/>
    <mergeCell ref="D11:D12"/>
    <mergeCell ref="E80:E81"/>
    <mergeCell ref="B80:B81"/>
    <mergeCell ref="C80:C81"/>
    <mergeCell ref="D80:D81"/>
    <mergeCell ref="B61:E61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3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65.8515625" style="85" customWidth="1"/>
    <col min="3" max="3" width="11.7109375" style="85" customWidth="1"/>
    <col min="4" max="5" width="19.7109375" style="85" customWidth="1"/>
    <col min="6" max="6" width="8.421875" style="532" customWidth="1"/>
    <col min="7" max="16384" width="11.421875" style="85" customWidth="1"/>
  </cols>
  <sheetData>
    <row r="1" spans="2:6" s="133" customFormat="1" ht="18.75" customHeight="1">
      <c r="B1" s="646"/>
      <c r="C1" s="646"/>
      <c r="D1" s="646"/>
      <c r="E1" s="646"/>
      <c r="F1" s="532"/>
    </row>
    <row r="2" spans="2:6" s="133" customFormat="1" ht="18.75" customHeight="1">
      <c r="B2" s="646"/>
      <c r="C2" s="646"/>
      <c r="D2" s="646"/>
      <c r="E2" s="646"/>
      <c r="F2" s="532"/>
    </row>
    <row r="3" spans="2:6" s="133" customFormat="1" ht="11.25" customHeight="1">
      <c r="B3" s="646"/>
      <c r="C3" s="646"/>
      <c r="D3" s="646"/>
      <c r="E3" s="646"/>
      <c r="F3" s="532"/>
    </row>
    <row r="4" spans="2:8" s="133" customFormat="1" ht="15" customHeight="1">
      <c r="B4" s="646"/>
      <c r="C4" s="646"/>
      <c r="D4" s="646"/>
      <c r="E4" s="646"/>
      <c r="F4" s="532"/>
      <c r="G4" s="187"/>
      <c r="H4" s="187"/>
    </row>
    <row r="5" spans="2:8" ht="18">
      <c r="B5" s="127" t="s">
        <v>15</v>
      </c>
      <c r="C5" s="93"/>
      <c r="D5" s="93"/>
      <c r="E5" s="93"/>
      <c r="G5" s="130"/>
      <c r="H5" s="130"/>
    </row>
    <row r="6" spans="2:8" ht="18">
      <c r="B6" s="309" t="s">
        <v>133</v>
      </c>
      <c r="C6" s="309"/>
      <c r="D6" s="309"/>
      <c r="E6" s="309"/>
      <c r="F6" s="533"/>
      <c r="G6" s="130"/>
      <c r="H6" s="130"/>
    </row>
    <row r="7" spans="2:8" ht="18">
      <c r="B7" s="309" t="s">
        <v>132</v>
      </c>
      <c r="C7" s="309"/>
      <c r="D7" s="309"/>
      <c r="E7" s="309"/>
      <c r="F7" s="533"/>
      <c r="G7" s="130"/>
      <c r="H7" s="130"/>
    </row>
    <row r="8" spans="2:8" ht="16.5">
      <c r="B8" s="333" t="s">
        <v>103</v>
      </c>
      <c r="C8" s="181"/>
      <c r="D8" s="181"/>
      <c r="E8" s="181"/>
      <c r="G8" s="130"/>
      <c r="H8" s="130"/>
    </row>
    <row r="9" spans="2:8" ht="15.75">
      <c r="B9" s="131" t="str">
        <f>+'DEP-C2'!B9</f>
        <v>Al 30 de abril de 2024</v>
      </c>
      <c r="C9" s="131"/>
      <c r="D9" s="131"/>
      <c r="E9" s="258"/>
      <c r="F9" s="534">
        <f>+Portada!H39</f>
        <v>3.752</v>
      </c>
      <c r="G9" s="130"/>
      <c r="H9" s="130"/>
    </row>
    <row r="10" spans="2:8" ht="9.75" customHeight="1">
      <c r="B10" s="181"/>
      <c r="C10" s="181"/>
      <c r="D10" s="181"/>
      <c r="E10" s="181"/>
      <c r="G10" s="130"/>
      <c r="H10" s="130"/>
    </row>
    <row r="11" spans="2:8" ht="16.5" customHeight="1">
      <c r="B11" s="382" t="s">
        <v>205</v>
      </c>
      <c r="C11" s="652" t="s">
        <v>99</v>
      </c>
      <c r="D11" s="654" t="s">
        <v>85</v>
      </c>
      <c r="E11" s="617" t="s">
        <v>161</v>
      </c>
      <c r="G11" s="130"/>
      <c r="H11" s="130"/>
    </row>
    <row r="12" spans="2:8" s="80" customFormat="1" ht="16.5" customHeight="1">
      <c r="B12" s="381" t="s">
        <v>206</v>
      </c>
      <c r="C12" s="653"/>
      <c r="D12" s="655"/>
      <c r="E12" s="618"/>
      <c r="F12" s="532"/>
      <c r="G12" s="163"/>
      <c r="H12" s="163"/>
    </row>
    <row r="13" spans="2:8" s="80" customFormat="1" ht="9.75" customHeight="1">
      <c r="B13" s="257"/>
      <c r="C13" s="139"/>
      <c r="D13" s="94"/>
      <c r="E13" s="94"/>
      <c r="F13" s="532"/>
      <c r="G13" s="163"/>
      <c r="H13" s="163"/>
    </row>
    <row r="14" spans="2:8" s="65" customFormat="1" ht="16.5" customHeight="1">
      <c r="B14" s="352" t="s">
        <v>87</v>
      </c>
      <c r="C14" s="352"/>
      <c r="D14" s="368">
        <f>+D15+D18+D20+D22+D25</f>
        <v>4543017.75385</v>
      </c>
      <c r="E14" s="368">
        <f>+E15+E18+E20+E22+E25</f>
        <v>17045402.61244</v>
      </c>
      <c r="F14" s="532"/>
      <c r="G14" s="162"/>
      <c r="H14" s="162"/>
    </row>
    <row r="15" spans="2:8" s="65" customFormat="1" ht="16.5" customHeight="1">
      <c r="B15" s="72" t="s">
        <v>35</v>
      </c>
      <c r="C15" s="73"/>
      <c r="D15" s="453">
        <f>SUM(D16:D17)</f>
        <v>1011111.11108</v>
      </c>
      <c r="E15" s="453">
        <f>SUM(E16:E17)</f>
        <v>3793688.88877</v>
      </c>
      <c r="F15" s="532"/>
      <c r="G15" s="162"/>
      <c r="H15" s="162"/>
    </row>
    <row r="16" spans="2:8" s="65" customFormat="1" ht="16.5" customHeight="1">
      <c r="B16" s="375" t="s">
        <v>224</v>
      </c>
      <c r="C16" s="73" t="s">
        <v>101</v>
      </c>
      <c r="D16" s="371">
        <v>1011111.11108</v>
      </c>
      <c r="E16" s="371">
        <f>ROUND(+D16*$F$9,5)</f>
        <v>3793688.88877</v>
      </c>
      <c r="F16" s="532"/>
      <c r="G16" s="162"/>
      <c r="H16" s="162"/>
    </row>
    <row r="17" spans="2:8" s="65" customFormat="1" ht="16.5" customHeight="1" hidden="1">
      <c r="B17" s="375" t="s">
        <v>183</v>
      </c>
      <c r="C17" s="73" t="s">
        <v>100</v>
      </c>
      <c r="D17" s="371">
        <v>0</v>
      </c>
      <c r="E17" s="371">
        <f>ROUND(+D17*$F$9,5)</f>
        <v>0</v>
      </c>
      <c r="F17" s="532"/>
      <c r="G17" s="162"/>
      <c r="H17" s="162"/>
    </row>
    <row r="18" spans="2:8" s="65" customFormat="1" ht="16.5" customHeight="1">
      <c r="B18" s="72" t="s">
        <v>123</v>
      </c>
      <c r="C18" s="73"/>
      <c r="D18" s="453">
        <f>+D19</f>
        <v>1388.32596</v>
      </c>
      <c r="E18" s="453">
        <f>+E19</f>
        <v>5208.999</v>
      </c>
      <c r="F18" s="532"/>
      <c r="G18" s="162"/>
      <c r="H18" s="162"/>
    </row>
    <row r="19" spans="2:8" s="65" customFormat="1" ht="16.5" customHeight="1">
      <c r="B19" s="375" t="s">
        <v>181</v>
      </c>
      <c r="C19" s="73" t="s">
        <v>100</v>
      </c>
      <c r="D19" s="371">
        <v>1388.32596</v>
      </c>
      <c r="E19" s="371">
        <f aca="true" t="shared" si="0" ref="E19:E24">ROUND(+D19*$F$9,5)</f>
        <v>5208.999</v>
      </c>
      <c r="F19" s="532"/>
      <c r="G19" s="162"/>
      <c r="H19" s="162"/>
    </row>
    <row r="20" spans="2:8" s="65" customFormat="1" ht="16.5" customHeight="1">
      <c r="B20" s="72" t="s">
        <v>73</v>
      </c>
      <c r="C20" s="73"/>
      <c r="D20" s="453">
        <f>+D21</f>
        <v>3000000</v>
      </c>
      <c r="E20" s="453">
        <f>+E21</f>
        <v>11256000</v>
      </c>
      <c r="F20" s="532"/>
      <c r="G20" s="162"/>
      <c r="H20" s="162"/>
    </row>
    <row r="21" spans="2:8" s="65" customFormat="1" ht="16.5" customHeight="1">
      <c r="B21" s="380" t="s">
        <v>217</v>
      </c>
      <c r="C21" s="73" t="s">
        <v>101</v>
      </c>
      <c r="D21" s="371">
        <v>3000000</v>
      </c>
      <c r="E21" s="371">
        <f>ROUND(+D21*$F$9,5)</f>
        <v>11256000</v>
      </c>
      <c r="F21" s="532"/>
      <c r="G21" s="162"/>
      <c r="H21" s="162"/>
    </row>
    <row r="22" spans="2:8" s="65" customFormat="1" ht="16.5" customHeight="1">
      <c r="B22" s="72" t="s">
        <v>86</v>
      </c>
      <c r="C22" s="72"/>
      <c r="D22" s="453">
        <f>SUM(D23:D24)</f>
        <v>421268.8312</v>
      </c>
      <c r="E22" s="453">
        <f>SUM(E23:E24)</f>
        <v>1580600.65466</v>
      </c>
      <c r="F22" s="532"/>
      <c r="G22" s="162"/>
      <c r="H22" s="162"/>
    </row>
    <row r="23" spans="2:8" s="65" customFormat="1" ht="16.5" customHeight="1">
      <c r="B23" s="375" t="s">
        <v>218</v>
      </c>
      <c r="C23" s="73" t="s">
        <v>100</v>
      </c>
      <c r="D23" s="519">
        <v>319695.1795</v>
      </c>
      <c r="E23" s="371">
        <f t="shared" si="0"/>
        <v>1199496.31348</v>
      </c>
      <c r="F23" s="532"/>
      <c r="G23" s="162"/>
      <c r="H23" s="162"/>
    </row>
    <row r="24" spans="2:8" s="65" customFormat="1" ht="16.5" customHeight="1">
      <c r="B24" s="375" t="s">
        <v>178</v>
      </c>
      <c r="C24" s="73" t="s">
        <v>100</v>
      </c>
      <c r="D24" s="371">
        <v>101573.6517</v>
      </c>
      <c r="E24" s="371">
        <f t="shared" si="0"/>
        <v>381104.34118</v>
      </c>
      <c r="F24" s="532"/>
      <c r="G24" s="162"/>
      <c r="H24" s="162"/>
    </row>
    <row r="25" spans="2:8" s="65" customFormat="1" ht="16.5" customHeight="1">
      <c r="B25" s="72" t="s">
        <v>36</v>
      </c>
      <c r="C25" s="73"/>
      <c r="D25" s="453">
        <f>SUM(D26:D27)</f>
        <v>109249.48561</v>
      </c>
      <c r="E25" s="453">
        <f>SUM(E26:E27)</f>
        <v>409904.07001</v>
      </c>
      <c r="F25" s="532"/>
      <c r="G25" s="162"/>
      <c r="H25" s="162"/>
    </row>
    <row r="26" spans="2:8" s="65" customFormat="1" ht="16.5" customHeight="1">
      <c r="B26" s="375" t="s">
        <v>0</v>
      </c>
      <c r="C26" s="73" t="s">
        <v>100</v>
      </c>
      <c r="D26" s="371">
        <v>109249.48561</v>
      </c>
      <c r="E26" s="371">
        <f>ROUND(+D26*$F$9,5)</f>
        <v>409904.07001</v>
      </c>
      <c r="F26" s="532"/>
      <c r="G26" s="162"/>
      <c r="H26" s="162"/>
    </row>
    <row r="27" spans="2:8" s="65" customFormat="1" ht="16.5" customHeight="1" hidden="1">
      <c r="B27" s="375" t="s">
        <v>179</v>
      </c>
      <c r="C27" s="73" t="s">
        <v>100</v>
      </c>
      <c r="D27" s="371">
        <v>0</v>
      </c>
      <c r="E27" s="371">
        <f>ROUND(+D27*$F$9,5)</f>
        <v>0</v>
      </c>
      <c r="F27" s="532"/>
      <c r="G27" s="162"/>
      <c r="H27" s="162"/>
    </row>
    <row r="28" spans="2:8" s="65" customFormat="1" ht="12" customHeight="1">
      <c r="B28" s="69"/>
      <c r="C28" s="73"/>
      <c r="D28" s="369"/>
      <c r="E28" s="369"/>
      <c r="F28" s="532"/>
      <c r="G28" s="162"/>
      <c r="H28" s="162"/>
    </row>
    <row r="29" spans="2:8" s="65" customFormat="1" ht="21.75" customHeight="1">
      <c r="B29" s="352" t="s">
        <v>88</v>
      </c>
      <c r="C29" s="68"/>
      <c r="D29" s="368">
        <f>+D30+D34+D36+D39+D41</f>
        <v>4007099.0120800002</v>
      </c>
      <c r="E29" s="368">
        <f>+E30+E34+E36+E39+E41</f>
        <v>15034635.493329998</v>
      </c>
      <c r="F29" s="535"/>
      <c r="G29" s="162"/>
      <c r="H29" s="162"/>
    </row>
    <row r="30" spans="2:6" s="65" customFormat="1" ht="16.5" customHeight="1">
      <c r="B30" s="72" t="s">
        <v>35</v>
      </c>
      <c r="C30" s="73"/>
      <c r="D30" s="453">
        <f>SUM(D31:D33)</f>
        <v>752913.11301</v>
      </c>
      <c r="E30" s="453">
        <f>SUM(E31:E33)</f>
        <v>2824930.00001</v>
      </c>
      <c r="F30" s="536"/>
    </row>
    <row r="31" spans="2:6" s="65" customFormat="1" ht="16.5" customHeight="1">
      <c r="B31" s="375" t="s">
        <v>240</v>
      </c>
      <c r="C31" s="73" t="s">
        <v>101</v>
      </c>
      <c r="D31" s="371">
        <v>587001.59915</v>
      </c>
      <c r="E31" s="371">
        <f>ROUND(+D31*$F$9,5)</f>
        <v>2202430.00001</v>
      </c>
      <c r="F31" s="537"/>
    </row>
    <row r="32" spans="2:6" s="65" customFormat="1" ht="16.5" customHeight="1">
      <c r="B32" s="375" t="s">
        <v>258</v>
      </c>
      <c r="C32" s="73" t="s">
        <v>101</v>
      </c>
      <c r="D32" s="371">
        <v>163113.0064</v>
      </c>
      <c r="E32" s="371">
        <f>ROUND(+D32*$F$9,5)</f>
        <v>612000.00001</v>
      </c>
      <c r="F32" s="537"/>
    </row>
    <row r="33" spans="2:6" s="65" customFormat="1" ht="16.5" customHeight="1">
      <c r="B33" s="375" t="s">
        <v>154</v>
      </c>
      <c r="C33" s="73" t="s">
        <v>100</v>
      </c>
      <c r="D33" s="371">
        <v>2798.50746</v>
      </c>
      <c r="E33" s="371">
        <f>ROUND(+D33*$F$9,5)</f>
        <v>10499.99999</v>
      </c>
      <c r="F33" s="537"/>
    </row>
    <row r="34" spans="2:6" s="65" customFormat="1" ht="16.5" customHeight="1">
      <c r="B34" s="72" t="s">
        <v>123</v>
      </c>
      <c r="C34" s="73"/>
      <c r="D34" s="453">
        <f>+D35</f>
        <v>381987.80793</v>
      </c>
      <c r="E34" s="453">
        <f>+E35</f>
        <v>1433218.25535</v>
      </c>
      <c r="F34" s="536"/>
    </row>
    <row r="35" spans="2:6" s="65" customFormat="1" ht="16.5" customHeight="1">
      <c r="B35" s="375" t="s">
        <v>181</v>
      </c>
      <c r="C35" s="73" t="s">
        <v>100</v>
      </c>
      <c r="D35" s="371">
        <v>381987.80793</v>
      </c>
      <c r="E35" s="371">
        <f>ROUND(+D35*$F$9,5)</f>
        <v>1433218.25535</v>
      </c>
      <c r="F35" s="532"/>
    </row>
    <row r="36" spans="2:6" s="65" customFormat="1" ht="16.5" customHeight="1">
      <c r="B36" s="72" t="s">
        <v>73</v>
      </c>
      <c r="C36" s="73"/>
      <c r="D36" s="453">
        <f>SUM(D37:D38)</f>
        <v>2262735.47868</v>
      </c>
      <c r="E36" s="453">
        <f>SUM(E37:E38)</f>
        <v>8489783.51601</v>
      </c>
      <c r="F36" s="532"/>
    </row>
    <row r="37" spans="2:6" s="65" customFormat="1" ht="16.5" customHeight="1">
      <c r="B37" s="380" t="s">
        <v>219</v>
      </c>
      <c r="C37" s="73" t="s">
        <v>101</v>
      </c>
      <c r="D37" s="371">
        <v>1766548</v>
      </c>
      <c r="E37" s="371">
        <f>ROUND(+D37*$F$9,5)</f>
        <v>6628088.096</v>
      </c>
      <c r="F37" s="532"/>
    </row>
    <row r="38" spans="2:6" s="65" customFormat="1" ht="16.5" customHeight="1">
      <c r="B38" s="380" t="s">
        <v>220</v>
      </c>
      <c r="C38" s="73" t="s">
        <v>100</v>
      </c>
      <c r="D38" s="371">
        <v>496187.47868</v>
      </c>
      <c r="E38" s="371">
        <f>ROUND(+D38*$F$9,5)</f>
        <v>1861695.42001</v>
      </c>
      <c r="F38" s="532"/>
    </row>
    <row r="39" spans="2:6" s="65" customFormat="1" ht="16.5" customHeight="1">
      <c r="B39" s="72" t="s">
        <v>86</v>
      </c>
      <c r="C39" s="72"/>
      <c r="D39" s="453">
        <f>+D40</f>
        <v>29550.72246</v>
      </c>
      <c r="E39" s="453">
        <f>+E40</f>
        <v>110874.31067</v>
      </c>
      <c r="F39" s="532"/>
    </row>
    <row r="40" spans="2:6" s="65" customFormat="1" ht="16.5" customHeight="1">
      <c r="B40" s="375" t="s">
        <v>218</v>
      </c>
      <c r="C40" s="73" t="s">
        <v>100</v>
      </c>
      <c r="D40" s="371">
        <v>29550.72246</v>
      </c>
      <c r="E40" s="371">
        <f>ROUND(+D40*$F$9,5)</f>
        <v>110874.31067</v>
      </c>
      <c r="F40" s="532"/>
    </row>
    <row r="41" spans="2:6" s="65" customFormat="1" ht="16.5" customHeight="1">
      <c r="B41" s="72" t="s">
        <v>36</v>
      </c>
      <c r="C41" s="73"/>
      <c r="D41" s="453">
        <f>SUM(D42:D46)</f>
        <v>579911.89</v>
      </c>
      <c r="E41" s="453">
        <f>SUM(E42:E46)</f>
        <v>2175829.41129</v>
      </c>
      <c r="F41" s="532"/>
    </row>
    <row r="42" spans="2:6" s="65" customFormat="1" ht="16.5" customHeight="1">
      <c r="B42" s="375" t="s">
        <v>225</v>
      </c>
      <c r="C42" s="73" t="s">
        <v>101</v>
      </c>
      <c r="D42" s="371">
        <v>312020.16389</v>
      </c>
      <c r="E42" s="371">
        <f>ROUND(+D42*$F$9,5)</f>
        <v>1170699.65492</v>
      </c>
      <c r="F42" s="532"/>
    </row>
    <row r="43" spans="2:6" s="65" customFormat="1" ht="16.5" customHeight="1">
      <c r="B43" s="375" t="s">
        <v>163</v>
      </c>
      <c r="C43" s="73" t="s">
        <v>101</v>
      </c>
      <c r="D43" s="371">
        <v>217284.11518</v>
      </c>
      <c r="E43" s="371">
        <f>ROUND(+D43*$F$9,5)</f>
        <v>815250.00016</v>
      </c>
      <c r="F43" s="532"/>
    </row>
    <row r="44" spans="2:6" s="65" customFormat="1" ht="16.5" customHeight="1">
      <c r="B44" s="375" t="s">
        <v>226</v>
      </c>
      <c r="C44" s="73" t="s">
        <v>101</v>
      </c>
      <c r="D44" s="371">
        <v>38076.924</v>
      </c>
      <c r="E44" s="371">
        <f>ROUND(+D44*$F$9,5)</f>
        <v>142864.61885</v>
      </c>
      <c r="F44" s="532"/>
    </row>
    <row r="45" spans="2:6" s="65" customFormat="1" ht="16.5" customHeight="1">
      <c r="B45" s="375" t="s">
        <v>203</v>
      </c>
      <c r="C45" s="73" t="s">
        <v>100</v>
      </c>
      <c r="D45" s="371">
        <v>10051.78194</v>
      </c>
      <c r="E45" s="371">
        <f>ROUND(+D45*$F$9,5)</f>
        <v>37714.28584</v>
      </c>
      <c r="F45" s="532"/>
    </row>
    <row r="46" spans="2:6" s="65" customFormat="1" ht="16.5" customHeight="1">
      <c r="B46" s="375" t="s">
        <v>175</v>
      </c>
      <c r="C46" s="73" t="s">
        <v>101</v>
      </c>
      <c r="D46" s="371">
        <v>2478.90499</v>
      </c>
      <c r="E46" s="371">
        <f>ROUND(+D46*$F$9,5)</f>
        <v>9300.85152</v>
      </c>
      <c r="F46" s="532"/>
    </row>
    <row r="47" spans="2:6" s="65" customFormat="1" ht="9.75" customHeight="1">
      <c r="B47" s="140"/>
      <c r="C47" s="141"/>
      <c r="D47" s="454"/>
      <c r="E47" s="454"/>
      <c r="F47" s="532"/>
    </row>
    <row r="48" spans="2:6" s="80" customFormat="1" ht="15" customHeight="1">
      <c r="B48" s="657" t="s">
        <v>98</v>
      </c>
      <c r="C48" s="142"/>
      <c r="D48" s="651">
        <f>+D29+D14</f>
        <v>8550116.76593</v>
      </c>
      <c r="E48" s="623">
        <f>+E29+E14</f>
        <v>32080038.10577</v>
      </c>
      <c r="F48" s="532"/>
    </row>
    <row r="49" spans="2:6" s="80" customFormat="1" ht="15" customHeight="1">
      <c r="B49" s="622"/>
      <c r="C49" s="143"/>
      <c r="D49" s="624"/>
      <c r="E49" s="624"/>
      <c r="F49" s="532"/>
    </row>
    <row r="50" spans="2:5" ht="6" customHeight="1">
      <c r="B50" s="144"/>
      <c r="C50" s="144"/>
      <c r="D50" s="95"/>
      <c r="E50" s="95"/>
    </row>
    <row r="51" spans="2:5" ht="14.25" customHeight="1">
      <c r="B51" s="84" t="s">
        <v>237</v>
      </c>
      <c r="C51" s="84"/>
      <c r="D51" s="490"/>
      <c r="E51" s="65"/>
    </row>
    <row r="52" spans="2:5" ht="14.25" customHeight="1">
      <c r="B52" s="84" t="s">
        <v>216</v>
      </c>
      <c r="C52" s="84"/>
      <c r="D52" s="84"/>
      <c r="E52" s="65"/>
    </row>
    <row r="53" spans="2:5" ht="14.25" customHeight="1">
      <c r="B53" s="529" t="s">
        <v>257</v>
      </c>
      <c r="C53" s="84"/>
      <c r="D53" s="166"/>
      <c r="E53" s="65"/>
    </row>
    <row r="54" spans="2:5" ht="14.25" customHeight="1">
      <c r="B54" s="84" t="s">
        <v>261</v>
      </c>
      <c r="C54" s="84"/>
      <c r="D54" s="84"/>
      <c r="E54" s="207"/>
    </row>
    <row r="55" spans="2:5" ht="12.75" customHeight="1">
      <c r="B55" s="524"/>
      <c r="C55" s="84"/>
      <c r="D55" s="84"/>
      <c r="E55" s="207"/>
    </row>
    <row r="56" spans="4:6" ht="12.75" customHeight="1">
      <c r="D56" s="378"/>
      <c r="F56" s="538"/>
    </row>
    <row r="57" spans="2:5" ht="12.75" customHeight="1">
      <c r="B57" s="84"/>
      <c r="D57" s="240"/>
      <c r="E57" s="240"/>
    </row>
    <row r="58" spans="2:5" ht="12.75" customHeight="1">
      <c r="B58" s="84"/>
      <c r="D58" s="240"/>
      <c r="E58" s="240"/>
    </row>
    <row r="59" ht="12.75" customHeight="1">
      <c r="D59" s="96"/>
    </row>
    <row r="60" spans="2:6" s="133" customFormat="1" ht="18">
      <c r="B60" s="93" t="s">
        <v>119</v>
      </c>
      <c r="C60" s="93"/>
      <c r="D60" s="93"/>
      <c r="E60" s="93"/>
      <c r="F60" s="532"/>
    </row>
    <row r="61" spans="2:6" s="133" customFormat="1" ht="18">
      <c r="B61" s="656" t="s">
        <v>133</v>
      </c>
      <c r="C61" s="656"/>
      <c r="D61" s="656"/>
      <c r="E61" s="656"/>
      <c r="F61" s="533"/>
    </row>
    <row r="62" spans="2:6" s="133" customFormat="1" ht="18">
      <c r="B62" s="656" t="s">
        <v>134</v>
      </c>
      <c r="C62" s="656"/>
      <c r="D62" s="656"/>
      <c r="E62" s="656"/>
      <c r="F62" s="533"/>
    </row>
    <row r="63" spans="2:5" ht="16.5">
      <c r="B63" s="650" t="s">
        <v>103</v>
      </c>
      <c r="C63" s="650"/>
      <c r="D63" s="650"/>
      <c r="E63" s="650"/>
    </row>
    <row r="64" spans="2:5" ht="15.75">
      <c r="B64" s="619" t="str">
        <f>+B9</f>
        <v>Al 30 de abril de 2024</v>
      </c>
      <c r="C64" s="619"/>
      <c r="D64" s="619"/>
      <c r="E64" s="508"/>
    </row>
    <row r="65" spans="2:5" ht="9.75" customHeight="1">
      <c r="B65" s="181"/>
      <c r="C65" s="181"/>
      <c r="D65" s="181"/>
      <c r="E65" s="181"/>
    </row>
    <row r="66" spans="2:5" ht="16.5" customHeight="1">
      <c r="B66" s="382" t="s">
        <v>205</v>
      </c>
      <c r="C66" s="652" t="s">
        <v>99</v>
      </c>
      <c r="D66" s="654" t="s">
        <v>85</v>
      </c>
      <c r="E66" s="617" t="s">
        <v>161</v>
      </c>
    </row>
    <row r="67" spans="2:6" s="80" customFormat="1" ht="16.5" customHeight="1">
      <c r="B67" s="381" t="s">
        <v>206</v>
      </c>
      <c r="C67" s="653"/>
      <c r="D67" s="655"/>
      <c r="E67" s="618"/>
      <c r="F67" s="532"/>
    </row>
    <row r="68" spans="2:6" s="80" customFormat="1" ht="9.75" customHeight="1">
      <c r="B68" s="507"/>
      <c r="C68" s="139"/>
      <c r="D68" s="94"/>
      <c r="E68" s="94"/>
      <c r="F68" s="532"/>
    </row>
    <row r="69" spans="2:6" s="65" customFormat="1" ht="16.5" customHeight="1">
      <c r="B69" s="352" t="s">
        <v>87</v>
      </c>
      <c r="C69" s="352"/>
      <c r="D69" s="383">
        <f>+D70+D82+D84</f>
        <v>941856.4585500001</v>
      </c>
      <c r="E69" s="383">
        <f>+E70+E82+E84</f>
        <v>3533845.43248</v>
      </c>
      <c r="F69" s="532"/>
    </row>
    <row r="70" spans="2:6" s="65" customFormat="1" ht="16.5" customHeight="1">
      <c r="B70" s="72" t="s">
        <v>35</v>
      </c>
      <c r="C70" s="72"/>
      <c r="D70" s="384">
        <f>SUM(D71:D81)</f>
        <v>848448.4985400001</v>
      </c>
      <c r="E70" s="384">
        <f>SUM(E71:E81)</f>
        <v>3183378.76652</v>
      </c>
      <c r="F70" s="532"/>
    </row>
    <row r="71" spans="2:6" s="65" customFormat="1" ht="16.5" customHeight="1">
      <c r="B71" s="375" t="s">
        <v>238</v>
      </c>
      <c r="C71" s="73" t="s">
        <v>101</v>
      </c>
      <c r="D71" s="410">
        <v>269201.74553</v>
      </c>
      <c r="E71" s="379">
        <f aca="true" t="shared" si="1" ref="E71:E81">ROUND(+D71*$F$9,5)</f>
        <v>1010044.94923</v>
      </c>
      <c r="F71" s="532"/>
    </row>
    <row r="72" spans="2:6" s="65" customFormat="1" ht="16.5" customHeight="1">
      <c r="B72" s="375" t="s">
        <v>182</v>
      </c>
      <c r="C72" s="73" t="s">
        <v>100</v>
      </c>
      <c r="D72" s="410">
        <v>192595.06023</v>
      </c>
      <c r="E72" s="379">
        <f t="shared" si="1"/>
        <v>722616.66598</v>
      </c>
      <c r="F72" s="532"/>
    </row>
    <row r="73" spans="2:6" s="65" customFormat="1" ht="16.5" customHeight="1">
      <c r="B73" s="375" t="s">
        <v>250</v>
      </c>
      <c r="C73" s="73" t="s">
        <v>101</v>
      </c>
      <c r="D73" s="410">
        <v>150000</v>
      </c>
      <c r="E73" s="379">
        <f t="shared" si="1"/>
        <v>562800</v>
      </c>
      <c r="F73" s="532"/>
    </row>
    <row r="74" spans="2:6" s="65" customFormat="1" ht="16.5" customHeight="1">
      <c r="B74" s="375" t="s">
        <v>154</v>
      </c>
      <c r="C74" s="73" t="s">
        <v>100</v>
      </c>
      <c r="D74" s="410">
        <v>109004.75842</v>
      </c>
      <c r="E74" s="379">
        <f t="shared" si="1"/>
        <v>408985.85359</v>
      </c>
      <c r="F74" s="532"/>
    </row>
    <row r="75" spans="2:6" s="65" customFormat="1" ht="16.5" customHeight="1">
      <c r="B75" s="375" t="s">
        <v>246</v>
      </c>
      <c r="C75" s="73" t="s">
        <v>101</v>
      </c>
      <c r="D75" s="410">
        <v>59000</v>
      </c>
      <c r="E75" s="379">
        <f t="shared" si="1"/>
        <v>221368</v>
      </c>
      <c r="F75" s="532"/>
    </row>
    <row r="76" spans="2:6" s="65" customFormat="1" ht="16.5" customHeight="1" hidden="1">
      <c r="B76" s="375" t="s">
        <v>240</v>
      </c>
      <c r="C76" s="73" t="s">
        <v>101</v>
      </c>
      <c r="D76" s="410">
        <v>0</v>
      </c>
      <c r="E76" s="379">
        <f t="shared" si="1"/>
        <v>0</v>
      </c>
      <c r="F76" s="532"/>
    </row>
    <row r="77" spans="2:6" s="65" customFormat="1" ht="16.5" customHeight="1">
      <c r="B77" s="375" t="s">
        <v>183</v>
      </c>
      <c r="C77" s="73" t="s">
        <v>100</v>
      </c>
      <c r="D77" s="410">
        <v>22199.13693</v>
      </c>
      <c r="E77" s="379">
        <f t="shared" si="1"/>
        <v>83291.16176</v>
      </c>
      <c r="F77" s="532"/>
    </row>
    <row r="78" spans="2:6" s="65" customFormat="1" ht="16.5" customHeight="1">
      <c r="B78" s="375" t="s">
        <v>251</v>
      </c>
      <c r="C78" s="73" t="s">
        <v>101</v>
      </c>
      <c r="D78" s="410">
        <v>20000</v>
      </c>
      <c r="E78" s="379">
        <f t="shared" si="1"/>
        <v>75040</v>
      </c>
      <c r="F78" s="532"/>
    </row>
    <row r="79" spans="2:6" s="65" customFormat="1" ht="16.5" customHeight="1">
      <c r="B79" s="375" t="s">
        <v>254</v>
      </c>
      <c r="C79" s="73" t="s">
        <v>100</v>
      </c>
      <c r="D79" s="410">
        <v>11194.02985</v>
      </c>
      <c r="E79" s="379">
        <f t="shared" si="1"/>
        <v>42000</v>
      </c>
      <c r="F79" s="532"/>
    </row>
    <row r="80" spans="2:6" s="65" customFormat="1" ht="16.5" customHeight="1">
      <c r="B80" s="375" t="s">
        <v>255</v>
      </c>
      <c r="C80" s="73" t="s">
        <v>101</v>
      </c>
      <c r="D80" s="410">
        <v>10000</v>
      </c>
      <c r="E80" s="379">
        <f t="shared" si="1"/>
        <v>37520</v>
      </c>
      <c r="F80" s="532"/>
    </row>
    <row r="81" spans="2:6" s="65" customFormat="1" ht="16.5" customHeight="1">
      <c r="B81" s="375" t="s">
        <v>180</v>
      </c>
      <c r="C81" s="73" t="s">
        <v>100</v>
      </c>
      <c r="D81" s="410">
        <v>5253.76758</v>
      </c>
      <c r="E81" s="379">
        <f t="shared" si="1"/>
        <v>19712.13596</v>
      </c>
      <c r="F81" s="532"/>
    </row>
    <row r="82" spans="2:6" s="65" customFormat="1" ht="16.5" customHeight="1">
      <c r="B82" s="72" t="s">
        <v>123</v>
      </c>
      <c r="C82" s="74"/>
      <c r="D82" s="384">
        <f>+D83</f>
        <v>93407.96001</v>
      </c>
      <c r="E82" s="384">
        <f>+E83</f>
        <v>350466.66596</v>
      </c>
      <c r="F82" s="532"/>
    </row>
    <row r="83" spans="2:6" s="65" customFormat="1" ht="16.5" customHeight="1">
      <c r="B83" s="375" t="s">
        <v>181</v>
      </c>
      <c r="C83" s="73" t="s">
        <v>100</v>
      </c>
      <c r="D83" s="410">
        <v>93407.96001</v>
      </c>
      <c r="E83" s="379">
        <f>ROUND(+D83*$F$9,5)</f>
        <v>350466.66596</v>
      </c>
      <c r="F83" s="532"/>
    </row>
    <row r="84" spans="2:6" s="65" customFormat="1" ht="16.5" customHeight="1" hidden="1">
      <c r="B84" s="72" t="s">
        <v>36</v>
      </c>
      <c r="C84" s="73"/>
      <c r="D84" s="384">
        <f>SUM(D85:D85)</f>
        <v>0</v>
      </c>
      <c r="E84" s="384">
        <f>SUM(E85:E85)</f>
        <v>0</v>
      </c>
      <c r="F84" s="532"/>
    </row>
    <row r="85" spans="2:6" s="65" customFormat="1" ht="16.5" customHeight="1" hidden="1">
      <c r="B85" s="375" t="s">
        <v>0</v>
      </c>
      <c r="C85" s="73" t="s">
        <v>100</v>
      </c>
      <c r="D85" s="410">
        <v>0</v>
      </c>
      <c r="E85" s="379">
        <f>ROUND(+D85*$F$9,5)</f>
        <v>0</v>
      </c>
      <c r="F85" s="532"/>
    </row>
    <row r="86" spans="2:6" s="65" customFormat="1" ht="12" customHeight="1">
      <c r="B86" s="375"/>
      <c r="C86" s="73"/>
      <c r="D86" s="410"/>
      <c r="E86" s="379"/>
      <c r="F86" s="532"/>
    </row>
    <row r="87" spans="2:6" s="65" customFormat="1" ht="16.5" customHeight="1">
      <c r="B87" s="352" t="s">
        <v>88</v>
      </c>
      <c r="C87" s="352"/>
      <c r="D87" s="383">
        <f>+D88</f>
        <v>53304.90405</v>
      </c>
      <c r="E87" s="383">
        <f>+E88</f>
        <v>200000</v>
      </c>
      <c r="F87" s="532"/>
    </row>
    <row r="88" spans="2:6" s="65" customFormat="1" ht="16.5" customHeight="1">
      <c r="B88" s="72" t="s">
        <v>35</v>
      </c>
      <c r="C88" s="72"/>
      <c r="D88" s="384">
        <f>SUM(D89:D90)</f>
        <v>53304.90405</v>
      </c>
      <c r="E88" s="384">
        <f>SUM(E89:E90)</f>
        <v>200000</v>
      </c>
      <c r="F88" s="532"/>
    </row>
    <row r="89" spans="2:6" s="65" customFormat="1" ht="16.5" customHeight="1">
      <c r="B89" s="375" t="s">
        <v>183</v>
      </c>
      <c r="C89" s="73" t="s">
        <v>100</v>
      </c>
      <c r="D89" s="410">
        <v>53304.90405</v>
      </c>
      <c r="E89" s="379">
        <f>ROUND(+D89*$F$9,5)</f>
        <v>200000</v>
      </c>
      <c r="F89" s="532"/>
    </row>
    <row r="90" spans="2:6" s="65" customFormat="1" ht="16.5" customHeight="1" hidden="1">
      <c r="B90" s="375" t="s">
        <v>154</v>
      </c>
      <c r="C90" s="73" t="s">
        <v>100</v>
      </c>
      <c r="D90" s="410">
        <v>0</v>
      </c>
      <c r="E90" s="379">
        <f>ROUND(+D90*$F$9,5)</f>
        <v>0</v>
      </c>
      <c r="F90" s="532"/>
    </row>
    <row r="91" spans="2:6" s="65" customFormat="1" ht="9.75" customHeight="1">
      <c r="B91" s="140"/>
      <c r="C91" s="140"/>
      <c r="D91" s="385"/>
      <c r="E91" s="385"/>
      <c r="F91" s="532"/>
    </row>
    <row r="92" spans="2:6" s="80" customFormat="1" ht="15" customHeight="1">
      <c r="B92" s="621" t="s">
        <v>98</v>
      </c>
      <c r="C92" s="142"/>
      <c r="D92" s="647">
        <f>+D87+D69</f>
        <v>995161.3626000001</v>
      </c>
      <c r="E92" s="649">
        <f>+E87+E69</f>
        <v>3733845.43248</v>
      </c>
      <c r="F92" s="532"/>
    </row>
    <row r="93" spans="2:6" s="80" customFormat="1" ht="15" customHeight="1">
      <c r="B93" s="622"/>
      <c r="C93" s="143"/>
      <c r="D93" s="648"/>
      <c r="E93" s="648"/>
      <c r="F93" s="532"/>
    </row>
    <row r="94" spans="2:5" ht="7.5" customHeight="1">
      <c r="B94" s="144"/>
      <c r="C94" s="144"/>
      <c r="D94" s="95"/>
      <c r="E94" s="95"/>
    </row>
    <row r="95" spans="4:5" ht="12.75">
      <c r="D95" s="419"/>
      <c r="E95" s="419"/>
    </row>
    <row r="96" ht="12.75">
      <c r="D96" s="418"/>
    </row>
    <row r="97" spans="4:5" ht="12.75">
      <c r="D97" s="96"/>
      <c r="E97" s="96"/>
    </row>
  </sheetData>
  <sheetProtection/>
  <mergeCells count="20"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  <mergeCell ref="B1:E1"/>
    <mergeCell ref="B2:E2"/>
    <mergeCell ref="B3:E3"/>
    <mergeCell ref="B4:E4"/>
    <mergeCell ref="E11:E12"/>
    <mergeCell ref="B92:B93"/>
    <mergeCell ref="D92:D93"/>
    <mergeCell ref="E92:E93"/>
    <mergeCell ref="B63:E63"/>
    <mergeCell ref="D48:D4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82 E8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7" customWidth="1"/>
    <col min="2" max="2" width="103.8515625" style="97" customWidth="1"/>
    <col min="3" max="4" width="19.7109375" style="97" customWidth="1"/>
    <col min="5" max="5" width="15.140625" style="164" customWidth="1"/>
    <col min="6" max="6" width="13.57421875" style="97" bestFit="1" customWidth="1"/>
    <col min="7" max="7" width="21.421875" style="97" bestFit="1" customWidth="1"/>
    <col min="8" max="8" width="16.57421875" style="97" bestFit="1" customWidth="1"/>
    <col min="9" max="9" width="18.57421875" style="97" bestFit="1" customWidth="1"/>
    <col min="10" max="16384" width="11.421875" style="97" customWidth="1"/>
  </cols>
  <sheetData>
    <row r="1" ht="12.75">
      <c r="B1" s="145"/>
    </row>
    <row r="2" ht="12.75">
      <c r="B2" s="145"/>
    </row>
    <row r="3" ht="12.75">
      <c r="B3" s="145"/>
    </row>
    <row r="4" spans="2:16" ht="24.75" customHeight="1">
      <c r="B4" s="145"/>
      <c r="P4" s="192"/>
    </row>
    <row r="5" spans="2:16" ht="18">
      <c r="B5" s="361" t="s">
        <v>16</v>
      </c>
      <c r="C5" s="361"/>
      <c r="D5" s="361"/>
      <c r="P5" s="192"/>
    </row>
    <row r="6" spans="2:16" ht="18">
      <c r="B6" s="362" t="s">
        <v>133</v>
      </c>
      <c r="C6" s="362"/>
      <c r="D6" s="362"/>
      <c r="P6" s="192"/>
    </row>
    <row r="7" spans="2:16" ht="18">
      <c r="B7" s="362" t="s">
        <v>132</v>
      </c>
      <c r="C7" s="362"/>
      <c r="D7" s="362"/>
      <c r="E7" s="287"/>
      <c r="P7" s="192"/>
    </row>
    <row r="8" spans="2:16" ht="16.5">
      <c r="B8" s="366" t="s">
        <v>58</v>
      </c>
      <c r="C8" s="363"/>
      <c r="D8" s="363"/>
      <c r="P8" s="192"/>
    </row>
    <row r="9" spans="2:16" ht="15.75">
      <c r="B9" s="364" t="str">
        <f>+'DEP-C2'!B9</f>
        <v>Al 30 de abril de 2024</v>
      </c>
      <c r="C9" s="364"/>
      <c r="D9" s="288"/>
      <c r="E9" s="365">
        <f>+Portada!H39</f>
        <v>3.752</v>
      </c>
      <c r="P9" s="192"/>
    </row>
    <row r="10" spans="2:16" s="76" customFormat="1" ht="9.75" customHeight="1">
      <c r="B10" s="565"/>
      <c r="C10" s="565"/>
      <c r="D10" s="565"/>
      <c r="E10" s="208"/>
      <c r="P10" s="193"/>
    </row>
    <row r="11" spans="2:16" ht="16.5" customHeight="1">
      <c r="B11" s="605" t="s">
        <v>95</v>
      </c>
      <c r="C11" s="658" t="s">
        <v>85</v>
      </c>
      <c r="D11" s="660" t="s">
        <v>161</v>
      </c>
      <c r="P11" s="192"/>
    </row>
    <row r="12" spans="2:16" s="109" customFormat="1" ht="16.5" customHeight="1">
      <c r="B12" s="606"/>
      <c r="C12" s="659"/>
      <c r="D12" s="661"/>
      <c r="E12" s="209"/>
      <c r="P12" s="194"/>
    </row>
    <row r="13" spans="2:16" s="109" customFormat="1" ht="9.75" customHeight="1">
      <c r="B13" s="146"/>
      <c r="C13" s="515"/>
      <c r="D13" s="110"/>
      <c r="E13" s="209"/>
      <c r="P13" s="194"/>
    </row>
    <row r="14" spans="2:16" s="76" customFormat="1" ht="19.5" customHeight="1">
      <c r="B14" s="78" t="s">
        <v>195</v>
      </c>
      <c r="C14" s="500">
        <f>+C16+C34</f>
        <v>8200870.863970002</v>
      </c>
      <c r="D14" s="500">
        <f>+D16+D34</f>
        <v>30769667.48161999</v>
      </c>
      <c r="E14" s="241"/>
      <c r="F14" s="372"/>
      <c r="G14" s="289"/>
      <c r="H14" s="289"/>
      <c r="P14" s="193"/>
    </row>
    <row r="15" spans="2:16" s="76" customFormat="1" ht="9.75" customHeight="1">
      <c r="B15" s="78"/>
      <c r="C15" s="501"/>
      <c r="D15" s="500"/>
      <c r="E15" s="241"/>
      <c r="F15" s="373"/>
      <c r="G15" s="289"/>
      <c r="H15" s="289"/>
      <c r="P15" s="193"/>
    </row>
    <row r="16" spans="2:16" s="76" customFormat="1" ht="16.5" customHeight="1">
      <c r="B16" s="77" t="s">
        <v>64</v>
      </c>
      <c r="C16" s="501">
        <f>SUM(C17:C32)</f>
        <v>4223322.57435</v>
      </c>
      <c r="D16" s="501">
        <f>SUM(D17:D32)</f>
        <v>15845906.298969995</v>
      </c>
      <c r="E16" s="440"/>
      <c r="F16" s="440"/>
      <c r="P16" s="193"/>
    </row>
    <row r="17" spans="2:16" s="76" customFormat="1" ht="16.5" customHeight="1">
      <c r="B17" s="544" t="s">
        <v>194</v>
      </c>
      <c r="C17" s="513">
        <v>4011111.11108</v>
      </c>
      <c r="D17" s="514">
        <f aca="true" t="shared" si="0" ref="D17:D32">ROUND(+C17*$E$9,5)</f>
        <v>15049688.88877</v>
      </c>
      <c r="E17" s="440"/>
      <c r="F17" s="440"/>
      <c r="P17" s="193"/>
    </row>
    <row r="18" spans="2:16" s="76" customFormat="1" ht="16.5" customHeight="1">
      <c r="B18" s="544" t="s">
        <v>202</v>
      </c>
      <c r="C18" s="513">
        <v>60242.366070000004</v>
      </c>
      <c r="D18" s="514">
        <f t="shared" si="0"/>
        <v>226029.35749</v>
      </c>
      <c r="E18" s="440"/>
      <c r="F18" s="440"/>
      <c r="P18" s="193"/>
    </row>
    <row r="19" spans="2:16" s="76" customFormat="1" ht="16.5" customHeight="1">
      <c r="B19" s="544" t="s">
        <v>193</v>
      </c>
      <c r="C19" s="513">
        <v>29001.90972</v>
      </c>
      <c r="D19" s="514">
        <f t="shared" si="0"/>
        <v>108815.16527</v>
      </c>
      <c r="E19" s="440"/>
      <c r="F19" s="440"/>
      <c r="P19" s="193"/>
    </row>
    <row r="20" spans="2:16" s="76" customFormat="1" ht="16.5" customHeight="1">
      <c r="B20" s="544" t="s">
        <v>247</v>
      </c>
      <c r="C20" s="513">
        <v>26448.11657</v>
      </c>
      <c r="D20" s="514">
        <f t="shared" si="0"/>
        <v>99233.33337</v>
      </c>
      <c r="E20" s="440"/>
      <c r="F20" s="440"/>
      <c r="P20" s="193"/>
    </row>
    <row r="21" spans="2:16" s="76" customFormat="1" ht="16.5" customHeight="1">
      <c r="B21" s="544" t="s">
        <v>190</v>
      </c>
      <c r="C21" s="513">
        <v>24828.17447</v>
      </c>
      <c r="D21" s="514">
        <f t="shared" si="0"/>
        <v>93155.31061</v>
      </c>
      <c r="E21" s="440"/>
      <c r="F21" s="440"/>
      <c r="P21" s="193"/>
    </row>
    <row r="22" spans="2:16" s="76" customFormat="1" ht="16.5" customHeight="1">
      <c r="B22" s="544" t="s">
        <v>189</v>
      </c>
      <c r="C22" s="513">
        <v>17140.47776</v>
      </c>
      <c r="D22" s="514">
        <f t="shared" si="0"/>
        <v>64311.07256</v>
      </c>
      <c r="E22" s="440"/>
      <c r="F22" s="440"/>
      <c r="P22" s="193"/>
    </row>
    <row r="23" spans="2:16" s="76" customFormat="1" ht="16.5" customHeight="1">
      <c r="B23" s="544" t="s">
        <v>243</v>
      </c>
      <c r="C23" s="513">
        <v>15325.15992</v>
      </c>
      <c r="D23" s="514">
        <f t="shared" si="0"/>
        <v>57500.00002</v>
      </c>
      <c r="E23" s="440"/>
      <c r="F23" s="440"/>
      <c r="P23" s="193"/>
    </row>
    <row r="24" spans="2:16" s="76" customFormat="1" ht="16.5" customHeight="1">
      <c r="B24" s="544" t="s">
        <v>165</v>
      </c>
      <c r="C24" s="513">
        <v>11256.96009</v>
      </c>
      <c r="D24" s="514">
        <f t="shared" si="0"/>
        <v>42236.11426</v>
      </c>
      <c r="E24" s="440"/>
      <c r="F24" s="440"/>
      <c r="P24" s="193"/>
    </row>
    <row r="25" spans="2:16" s="76" customFormat="1" ht="16.5" customHeight="1">
      <c r="B25" s="544" t="s">
        <v>164</v>
      </c>
      <c r="C25" s="513">
        <v>7166.12122</v>
      </c>
      <c r="D25" s="514">
        <f t="shared" si="0"/>
        <v>26887.28682</v>
      </c>
      <c r="E25" s="440"/>
      <c r="F25" s="440"/>
      <c r="P25" s="193"/>
    </row>
    <row r="26" spans="2:16" s="76" customFormat="1" ht="16.5" customHeight="1">
      <c r="B26" s="544" t="s">
        <v>201</v>
      </c>
      <c r="C26" s="513">
        <v>4986.3957</v>
      </c>
      <c r="D26" s="514">
        <f t="shared" si="0"/>
        <v>18708.95667</v>
      </c>
      <c r="E26" s="440"/>
      <c r="F26" s="440"/>
      <c r="P26" s="193"/>
    </row>
    <row r="27" spans="2:16" s="76" customFormat="1" ht="16.5" customHeight="1">
      <c r="B27" s="544" t="s">
        <v>191</v>
      </c>
      <c r="C27" s="513">
        <v>4401.57042</v>
      </c>
      <c r="D27" s="514">
        <f t="shared" si="0"/>
        <v>16514.69222</v>
      </c>
      <c r="E27" s="440"/>
      <c r="F27" s="440"/>
      <c r="P27" s="193"/>
    </row>
    <row r="28" spans="2:16" s="76" customFormat="1" ht="16.5" customHeight="1">
      <c r="B28" s="544" t="s">
        <v>239</v>
      </c>
      <c r="C28" s="513">
        <v>3997.8678</v>
      </c>
      <c r="D28" s="514">
        <f t="shared" si="0"/>
        <v>14999.99999</v>
      </c>
      <c r="E28" s="440"/>
      <c r="F28" s="440"/>
      <c r="P28" s="193"/>
    </row>
    <row r="29" spans="2:16" s="76" customFormat="1" ht="16.5" customHeight="1">
      <c r="B29" s="544" t="s">
        <v>228</v>
      </c>
      <c r="C29" s="513">
        <v>2553.55874</v>
      </c>
      <c r="D29" s="514">
        <f t="shared" si="0"/>
        <v>9580.95239</v>
      </c>
      <c r="E29" s="440"/>
      <c r="F29" s="440"/>
      <c r="P29" s="193"/>
    </row>
    <row r="30" spans="2:16" s="76" customFormat="1" ht="16.5" customHeight="1">
      <c r="B30" s="544" t="s">
        <v>192</v>
      </c>
      <c r="C30" s="513">
        <v>2327.57245</v>
      </c>
      <c r="D30" s="514">
        <f t="shared" si="0"/>
        <v>8733.05183</v>
      </c>
      <c r="E30" s="440"/>
      <c r="F30" s="440"/>
      <c r="P30" s="193"/>
    </row>
    <row r="31" spans="2:16" s="76" customFormat="1" ht="16.5" customHeight="1">
      <c r="B31" s="544" t="s">
        <v>48</v>
      </c>
      <c r="C31" s="513">
        <v>2002.1633</v>
      </c>
      <c r="D31" s="514">
        <f t="shared" si="0"/>
        <v>7512.1167</v>
      </c>
      <c r="E31" s="440"/>
      <c r="F31" s="440"/>
      <c r="P31" s="193"/>
    </row>
    <row r="32" spans="2:16" s="76" customFormat="1" ht="16.5" customHeight="1">
      <c r="B32" s="544" t="s">
        <v>236</v>
      </c>
      <c r="C32" s="513">
        <v>533.04904</v>
      </c>
      <c r="D32" s="514">
        <f t="shared" si="0"/>
        <v>2000</v>
      </c>
      <c r="E32" s="440"/>
      <c r="F32" s="440"/>
      <c r="P32" s="193"/>
    </row>
    <row r="33" spans="2:16" s="76" customFormat="1" ht="12" customHeight="1">
      <c r="B33" s="290"/>
      <c r="C33" s="502"/>
      <c r="D33" s="502"/>
      <c r="E33" s="440"/>
      <c r="F33" s="440"/>
      <c r="P33" s="193"/>
    </row>
    <row r="34" spans="2:16" s="76" customFormat="1" ht="16.5" customHeight="1">
      <c r="B34" s="77" t="s">
        <v>25</v>
      </c>
      <c r="C34" s="501">
        <f>SUM(C35:C37)</f>
        <v>3977548.289620002</v>
      </c>
      <c r="D34" s="501">
        <f>+SUM(D35:D37)</f>
        <v>14923761.182649998</v>
      </c>
      <c r="E34" s="440"/>
      <c r="F34" s="440"/>
      <c r="P34" s="193"/>
    </row>
    <row r="35" spans="2:16" s="76" customFormat="1" ht="16.5" customHeight="1">
      <c r="B35" s="367" t="s">
        <v>166</v>
      </c>
      <c r="C35" s="513">
        <v>2133182.3870100006</v>
      </c>
      <c r="D35" s="514">
        <f>ROUND(+C35*$E$9,5)</f>
        <v>8003700.31606</v>
      </c>
      <c r="E35" s="440"/>
      <c r="F35" s="440"/>
      <c r="P35" s="193"/>
    </row>
    <row r="36" spans="2:16" s="76" customFormat="1" ht="16.5" customHeight="1">
      <c r="B36" s="544" t="s">
        <v>203</v>
      </c>
      <c r="C36" s="513">
        <v>1834314.1206700008</v>
      </c>
      <c r="D36" s="514">
        <f>ROUND(+C36*$E$9,5)</f>
        <v>6882346.58075</v>
      </c>
      <c r="E36" s="241"/>
      <c r="F36" s="374"/>
      <c r="P36" s="193"/>
    </row>
    <row r="37" spans="2:16" s="76" customFormat="1" ht="16.5" customHeight="1">
      <c r="B37" s="544" t="s">
        <v>122</v>
      </c>
      <c r="C37" s="513">
        <v>10051.781939999999</v>
      </c>
      <c r="D37" s="514">
        <f>ROUND(+C37*$E$9,5)</f>
        <v>37714.28584</v>
      </c>
      <c r="E37" s="241"/>
      <c r="F37" s="374"/>
      <c r="P37" s="193"/>
    </row>
    <row r="38" spans="2:16" s="76" customFormat="1" ht="15" customHeight="1">
      <c r="B38" s="290"/>
      <c r="C38" s="503"/>
      <c r="D38" s="503"/>
      <c r="E38" s="241"/>
      <c r="F38" s="374"/>
      <c r="P38" s="193"/>
    </row>
    <row r="39" spans="2:16" s="76" customFormat="1" ht="19.5" customHeight="1">
      <c r="B39" s="78" t="s">
        <v>196</v>
      </c>
      <c r="C39" s="500">
        <f>+C41+C53</f>
        <v>349245.90196</v>
      </c>
      <c r="D39" s="500">
        <f>+D41+D53</f>
        <v>1310370.62416</v>
      </c>
      <c r="E39" s="241"/>
      <c r="F39" s="374"/>
      <c r="P39" s="193"/>
    </row>
    <row r="40" spans="2:16" s="76" customFormat="1" ht="9.75" customHeight="1">
      <c r="B40" s="78"/>
      <c r="C40" s="500"/>
      <c r="D40" s="500"/>
      <c r="E40" s="241"/>
      <c r="F40" s="374"/>
      <c r="P40" s="193"/>
    </row>
    <row r="41" spans="2:16" s="76" customFormat="1" ht="16.5" customHeight="1">
      <c r="B41" s="77" t="s">
        <v>24</v>
      </c>
      <c r="C41" s="501">
        <f>SUM(C42:C51)</f>
        <v>319695.17949999997</v>
      </c>
      <c r="D41" s="501">
        <f>SUM(D42:D51)</f>
        <v>1199496.3134899999</v>
      </c>
      <c r="E41" s="241"/>
      <c r="F41" s="241"/>
      <c r="P41" s="193"/>
    </row>
    <row r="42" spans="2:16" s="76" customFormat="1" ht="16.5" customHeight="1">
      <c r="B42" s="544" t="s">
        <v>202</v>
      </c>
      <c r="C42" s="513">
        <v>310545.21014</v>
      </c>
      <c r="D42" s="514">
        <f aca="true" t="shared" si="1" ref="D42:D51">ROUND(+C42*$E$9,5)</f>
        <v>1165165.62845</v>
      </c>
      <c r="E42" s="241"/>
      <c r="F42" s="241"/>
      <c r="P42" s="193"/>
    </row>
    <row r="43" spans="2:16" s="76" customFormat="1" ht="16.5" customHeight="1">
      <c r="B43" s="334" t="s">
        <v>67</v>
      </c>
      <c r="C43" s="513">
        <v>2749.67602</v>
      </c>
      <c r="D43" s="514">
        <f t="shared" si="1"/>
        <v>10316.78443</v>
      </c>
      <c r="E43" s="241"/>
      <c r="F43" s="241"/>
      <c r="P43" s="193"/>
    </row>
    <row r="44" spans="2:16" s="76" customFormat="1" ht="16.5" customHeight="1">
      <c r="B44" s="334" t="s">
        <v>199</v>
      </c>
      <c r="C44" s="513">
        <v>2296.97654</v>
      </c>
      <c r="D44" s="514">
        <f t="shared" si="1"/>
        <v>8618.25598</v>
      </c>
      <c r="E44" s="241"/>
      <c r="F44" s="241"/>
      <c r="P44" s="193"/>
    </row>
    <row r="45" spans="2:16" s="76" customFormat="1" ht="16.5" customHeight="1">
      <c r="B45" s="334" t="s">
        <v>43</v>
      </c>
      <c r="C45" s="513">
        <v>1633.2323700000002</v>
      </c>
      <c r="D45" s="514">
        <f t="shared" si="1"/>
        <v>6127.88785</v>
      </c>
      <c r="E45" s="241"/>
      <c r="F45" s="241"/>
      <c r="P45" s="193"/>
    </row>
    <row r="46" spans="2:16" s="76" customFormat="1" ht="16.5" customHeight="1">
      <c r="B46" s="334" t="s">
        <v>50</v>
      </c>
      <c r="C46" s="513">
        <v>1129.86653</v>
      </c>
      <c r="D46" s="514">
        <f t="shared" si="1"/>
        <v>4239.25922</v>
      </c>
      <c r="E46" s="241"/>
      <c r="F46" s="241"/>
      <c r="P46" s="193"/>
    </row>
    <row r="47" spans="2:16" s="76" customFormat="1" ht="16.5" customHeight="1">
      <c r="B47" s="334" t="s">
        <v>155</v>
      </c>
      <c r="C47" s="513">
        <v>463.45479</v>
      </c>
      <c r="D47" s="514">
        <f t="shared" si="1"/>
        <v>1738.88237</v>
      </c>
      <c r="E47" s="241"/>
      <c r="F47" s="241"/>
      <c r="P47" s="193"/>
    </row>
    <row r="48" spans="2:16" s="76" customFormat="1" ht="16.5" customHeight="1">
      <c r="B48" s="334" t="s">
        <v>200</v>
      </c>
      <c r="C48" s="513">
        <v>424.7245</v>
      </c>
      <c r="D48" s="514">
        <f t="shared" si="1"/>
        <v>1593.56632</v>
      </c>
      <c r="E48" s="241"/>
      <c r="F48" s="241"/>
      <c r="P48" s="193"/>
    </row>
    <row r="49" spans="2:16" s="76" customFormat="1" ht="16.5" customHeight="1">
      <c r="B49" s="334" t="s">
        <v>221</v>
      </c>
      <c r="C49" s="513">
        <v>393.54178</v>
      </c>
      <c r="D49" s="514">
        <f t="shared" si="1"/>
        <v>1476.56876</v>
      </c>
      <c r="E49" s="241"/>
      <c r="F49" s="241"/>
      <c r="P49" s="193"/>
    </row>
    <row r="50" spans="2:16" s="76" customFormat="1" ht="16.5" customHeight="1">
      <c r="B50" s="334" t="s">
        <v>201</v>
      </c>
      <c r="C50" s="513">
        <v>57.493269999999995</v>
      </c>
      <c r="D50" s="514">
        <f t="shared" si="1"/>
        <v>215.71475</v>
      </c>
      <c r="E50" s="241"/>
      <c r="F50" s="241"/>
      <c r="P50" s="193"/>
    </row>
    <row r="51" spans="2:16" s="76" customFormat="1" ht="16.5" customHeight="1">
      <c r="B51" s="334" t="s">
        <v>42</v>
      </c>
      <c r="C51" s="513">
        <v>1.00356</v>
      </c>
      <c r="D51" s="514">
        <f t="shared" si="1"/>
        <v>3.76536</v>
      </c>
      <c r="E51" s="241"/>
      <c r="F51" s="241"/>
      <c r="P51" s="193"/>
    </row>
    <row r="52" spans="2:16" s="76" customFormat="1" ht="12" customHeight="1">
      <c r="B52" s="375"/>
      <c r="C52" s="502"/>
      <c r="D52" s="502"/>
      <c r="E52" s="241"/>
      <c r="F52" s="241"/>
      <c r="G52" s="430"/>
      <c r="P52" s="193"/>
    </row>
    <row r="53" spans="2:16" s="76" customFormat="1" ht="16.5" customHeight="1">
      <c r="B53" s="77" t="s">
        <v>25</v>
      </c>
      <c r="C53" s="501">
        <f>+C54</f>
        <v>29550.72246</v>
      </c>
      <c r="D53" s="501">
        <f>+D54</f>
        <v>110874.31067</v>
      </c>
      <c r="E53" s="241"/>
      <c r="F53" s="429"/>
      <c r="P53" s="193"/>
    </row>
    <row r="54" spans="2:16" s="76" customFormat="1" ht="16.5" customHeight="1">
      <c r="B54" s="367" t="s">
        <v>203</v>
      </c>
      <c r="C54" s="513">
        <v>29550.72246</v>
      </c>
      <c r="D54" s="514">
        <f>ROUND(+C54*$E$9,5)</f>
        <v>110874.31067</v>
      </c>
      <c r="E54" s="241"/>
      <c r="F54" s="374"/>
      <c r="P54" s="193"/>
    </row>
    <row r="55" spans="2:16" s="76" customFormat="1" ht="9.75" customHeight="1">
      <c r="B55" s="75"/>
      <c r="C55" s="504"/>
      <c r="D55" s="504"/>
      <c r="E55" s="241"/>
      <c r="F55" s="374"/>
      <c r="P55" s="193"/>
    </row>
    <row r="56" spans="2:16" s="76" customFormat="1" ht="18" customHeight="1" hidden="1">
      <c r="B56" s="147"/>
      <c r="C56" s="514"/>
      <c r="D56" s="514"/>
      <c r="E56" s="241"/>
      <c r="F56" s="374"/>
      <c r="P56" s="193"/>
    </row>
    <row r="57" spans="2:16" s="76" customFormat="1" ht="21.75" customHeight="1" hidden="1">
      <c r="B57" s="78" t="s">
        <v>110</v>
      </c>
      <c r="C57" s="500">
        <f>+C58</f>
        <v>0</v>
      </c>
      <c r="D57" s="500">
        <f>+D58</f>
        <v>0</v>
      </c>
      <c r="E57" s="241"/>
      <c r="F57" s="374"/>
      <c r="H57" s="291"/>
      <c r="P57" s="193"/>
    </row>
    <row r="58" spans="2:16" s="76" customFormat="1" ht="21.75" customHeight="1" hidden="1">
      <c r="B58" s="75" t="s">
        <v>64</v>
      </c>
      <c r="C58" s="504">
        <f>+C59</f>
        <v>0</v>
      </c>
      <c r="D58" s="504">
        <f>+D59</f>
        <v>0</v>
      </c>
      <c r="E58" s="241"/>
      <c r="F58" s="374"/>
      <c r="H58" s="291"/>
      <c r="P58" s="193"/>
    </row>
    <row r="59" spans="2:16" s="76" customFormat="1" ht="21.75" customHeight="1" hidden="1">
      <c r="B59" s="290" t="s">
        <v>107</v>
      </c>
      <c r="C59" s="502">
        <v>0</v>
      </c>
      <c r="D59" s="502">
        <f>+C59*$E$9</f>
        <v>0</v>
      </c>
      <c r="E59" s="241"/>
      <c r="F59" s="374"/>
      <c r="H59" s="291"/>
      <c r="P59" s="193"/>
    </row>
    <row r="60" spans="2:16" s="76" customFormat="1" ht="19.5" customHeight="1" hidden="1">
      <c r="B60" s="147"/>
      <c r="C60" s="514"/>
      <c r="D60" s="514"/>
      <c r="E60" s="241"/>
      <c r="F60" s="374"/>
      <c r="P60" s="193"/>
    </row>
    <row r="61" spans="2:16" s="76" customFormat="1" ht="21.75" customHeight="1" hidden="1">
      <c r="B61" s="78" t="s">
        <v>135</v>
      </c>
      <c r="C61" s="500">
        <f>+C62+C86</f>
        <v>0</v>
      </c>
      <c r="D61" s="500">
        <f>+D62+D86</f>
        <v>0</v>
      </c>
      <c r="E61" s="241"/>
      <c r="F61" s="374"/>
      <c r="P61" s="193"/>
    </row>
    <row r="62" spans="2:16" s="76" customFormat="1" ht="21.75" customHeight="1" hidden="1">
      <c r="B62" s="77" t="s">
        <v>24</v>
      </c>
      <c r="C62" s="501">
        <f>SUM(C63:C84)</f>
        <v>0</v>
      </c>
      <c r="D62" s="501">
        <f>SUM(D63:D84)</f>
        <v>0</v>
      </c>
      <c r="E62" s="241"/>
      <c r="F62" s="374"/>
      <c r="P62" s="193"/>
    </row>
    <row r="63" spans="2:16" s="76" customFormat="1" ht="21.75" customHeight="1" hidden="1">
      <c r="B63" s="290" t="s">
        <v>106</v>
      </c>
      <c r="C63" s="502"/>
      <c r="D63" s="502">
        <f aca="true" t="shared" si="2" ref="D63:D84">+C63*$E$9</f>
        <v>0</v>
      </c>
      <c r="E63" s="241"/>
      <c r="F63" s="374"/>
      <c r="P63" s="193"/>
    </row>
    <row r="64" spans="2:16" s="76" customFormat="1" ht="21.75" customHeight="1" hidden="1">
      <c r="B64" s="290" t="s">
        <v>38</v>
      </c>
      <c r="C64" s="502"/>
      <c r="D64" s="502">
        <f t="shared" si="2"/>
        <v>0</v>
      </c>
      <c r="E64" s="241"/>
      <c r="F64" s="374"/>
      <c r="P64" s="193"/>
    </row>
    <row r="65" spans="2:16" s="76" customFormat="1" ht="21.75" customHeight="1" hidden="1">
      <c r="B65" s="290" t="s">
        <v>39</v>
      </c>
      <c r="C65" s="502"/>
      <c r="D65" s="502">
        <f t="shared" si="2"/>
        <v>0</v>
      </c>
      <c r="E65" s="241"/>
      <c r="F65" s="374"/>
      <c r="P65" s="193"/>
    </row>
    <row r="66" spans="2:16" s="76" customFormat="1" ht="21.75" customHeight="1" hidden="1">
      <c r="B66" s="290" t="s">
        <v>41</v>
      </c>
      <c r="C66" s="502"/>
      <c r="D66" s="502">
        <f t="shared" si="2"/>
        <v>0</v>
      </c>
      <c r="E66" s="241"/>
      <c r="F66" s="374"/>
      <c r="P66" s="193"/>
    </row>
    <row r="67" spans="2:16" s="76" customFormat="1" ht="21.75" customHeight="1" hidden="1">
      <c r="B67" s="290" t="s">
        <v>142</v>
      </c>
      <c r="C67" s="502"/>
      <c r="D67" s="502">
        <f t="shared" si="2"/>
        <v>0</v>
      </c>
      <c r="E67" s="241"/>
      <c r="F67" s="374"/>
      <c r="P67" s="193"/>
    </row>
    <row r="68" spans="2:16" s="76" customFormat="1" ht="21.75" customHeight="1" hidden="1">
      <c r="B68" s="290" t="s">
        <v>40</v>
      </c>
      <c r="C68" s="502"/>
      <c r="D68" s="502">
        <f t="shared" si="2"/>
        <v>0</v>
      </c>
      <c r="E68" s="241"/>
      <c r="F68" s="374"/>
      <c r="P68" s="193"/>
    </row>
    <row r="69" spans="2:16" s="76" customFormat="1" ht="21.75" customHeight="1" hidden="1">
      <c r="B69" s="290" t="s">
        <v>44</v>
      </c>
      <c r="C69" s="502"/>
      <c r="D69" s="502">
        <f t="shared" si="2"/>
        <v>0</v>
      </c>
      <c r="E69" s="241"/>
      <c r="F69" s="374"/>
      <c r="P69" s="193"/>
    </row>
    <row r="70" spans="2:16" s="76" customFormat="1" ht="21.75" customHeight="1" hidden="1">
      <c r="B70" s="290" t="s">
        <v>67</v>
      </c>
      <c r="C70" s="502"/>
      <c r="D70" s="502">
        <f t="shared" si="2"/>
        <v>0</v>
      </c>
      <c r="E70" s="241"/>
      <c r="F70" s="374"/>
      <c r="P70" s="193"/>
    </row>
    <row r="71" spans="2:16" s="76" customFormat="1" ht="21.75" customHeight="1" hidden="1">
      <c r="B71" s="290" t="s">
        <v>46</v>
      </c>
      <c r="C71" s="502"/>
      <c r="D71" s="502">
        <f t="shared" si="2"/>
        <v>0</v>
      </c>
      <c r="E71" s="241"/>
      <c r="F71" s="374"/>
      <c r="P71" s="193"/>
    </row>
    <row r="72" spans="2:16" s="76" customFormat="1" ht="21.75" customHeight="1" hidden="1">
      <c r="B72" s="290" t="s">
        <v>42</v>
      </c>
      <c r="C72" s="502"/>
      <c r="D72" s="502">
        <f t="shared" si="2"/>
        <v>0</v>
      </c>
      <c r="E72" s="241"/>
      <c r="F72" s="374"/>
      <c r="P72" s="193"/>
    </row>
    <row r="73" spans="2:16" s="76" customFormat="1" ht="21.75" customHeight="1" hidden="1">
      <c r="B73" s="290" t="s">
        <v>43</v>
      </c>
      <c r="C73" s="502"/>
      <c r="D73" s="502">
        <f t="shared" si="2"/>
        <v>0</v>
      </c>
      <c r="E73" s="241"/>
      <c r="F73" s="374"/>
      <c r="P73" s="193"/>
    </row>
    <row r="74" spans="2:16" s="76" customFormat="1" ht="21.75" customHeight="1" hidden="1">
      <c r="B74" s="290" t="s">
        <v>47</v>
      </c>
      <c r="C74" s="502"/>
      <c r="D74" s="502">
        <f t="shared" si="2"/>
        <v>0</v>
      </c>
      <c r="E74" s="241"/>
      <c r="F74" s="374"/>
      <c r="P74" s="193"/>
    </row>
    <row r="75" spans="2:16" s="76" customFormat="1" ht="21.75" customHeight="1" hidden="1">
      <c r="B75" s="290" t="s">
        <v>50</v>
      </c>
      <c r="C75" s="502"/>
      <c r="D75" s="502">
        <f t="shared" si="2"/>
        <v>0</v>
      </c>
      <c r="E75" s="241"/>
      <c r="F75" s="374"/>
      <c r="P75" s="193"/>
    </row>
    <row r="76" spans="2:16" s="76" customFormat="1" ht="21.75" customHeight="1" hidden="1">
      <c r="B76" s="290" t="s">
        <v>155</v>
      </c>
      <c r="C76" s="502"/>
      <c r="D76" s="502">
        <f t="shared" si="2"/>
        <v>0</v>
      </c>
      <c r="E76" s="241"/>
      <c r="F76" s="374"/>
      <c r="P76" s="193"/>
    </row>
    <row r="77" spans="2:16" s="76" customFormat="1" ht="21.75" customHeight="1" hidden="1">
      <c r="B77" s="290" t="s">
        <v>52</v>
      </c>
      <c r="C77" s="502"/>
      <c r="D77" s="502">
        <f t="shared" si="2"/>
        <v>0</v>
      </c>
      <c r="E77" s="241"/>
      <c r="F77" s="374"/>
      <c r="P77" s="193"/>
    </row>
    <row r="78" spans="2:16" s="76" customFormat="1" ht="21.75" customHeight="1" hidden="1">
      <c r="B78" s="290" t="s">
        <v>54</v>
      </c>
      <c r="C78" s="502"/>
      <c r="D78" s="502">
        <f t="shared" si="2"/>
        <v>0</v>
      </c>
      <c r="E78" s="241"/>
      <c r="F78" s="374"/>
      <c r="P78" s="193"/>
    </row>
    <row r="79" spans="2:16" s="76" customFormat="1" ht="21.75" customHeight="1" hidden="1">
      <c r="B79" s="290" t="s">
        <v>45</v>
      </c>
      <c r="C79" s="502"/>
      <c r="D79" s="502">
        <f t="shared" si="2"/>
        <v>0</v>
      </c>
      <c r="E79" s="241"/>
      <c r="F79" s="374"/>
      <c r="P79" s="193"/>
    </row>
    <row r="80" spans="2:16" s="76" customFormat="1" ht="21.75" customHeight="1" hidden="1">
      <c r="B80" s="290" t="s">
        <v>49</v>
      </c>
      <c r="C80" s="502"/>
      <c r="D80" s="502">
        <f t="shared" si="2"/>
        <v>0</v>
      </c>
      <c r="E80" s="241"/>
      <c r="F80" s="374"/>
      <c r="P80" s="193"/>
    </row>
    <row r="81" spans="2:16" s="76" customFormat="1" ht="21.75" customHeight="1" hidden="1">
      <c r="B81" s="290" t="s">
        <v>56</v>
      </c>
      <c r="C81" s="502"/>
      <c r="D81" s="502">
        <f t="shared" si="2"/>
        <v>0</v>
      </c>
      <c r="E81" s="241"/>
      <c r="F81" s="374"/>
      <c r="P81" s="193"/>
    </row>
    <row r="82" spans="2:16" s="76" customFormat="1" ht="21.75" customHeight="1" hidden="1">
      <c r="B82" s="290" t="s">
        <v>51</v>
      </c>
      <c r="C82" s="502"/>
      <c r="D82" s="502">
        <f t="shared" si="2"/>
        <v>0</v>
      </c>
      <c r="E82" s="241"/>
      <c r="F82" s="374"/>
      <c r="P82" s="193"/>
    </row>
    <row r="83" spans="2:16" s="76" customFormat="1" ht="21.75" customHeight="1" hidden="1">
      <c r="B83" s="290" t="s">
        <v>53</v>
      </c>
      <c r="C83" s="502"/>
      <c r="D83" s="502">
        <f t="shared" si="2"/>
        <v>0</v>
      </c>
      <c r="E83" s="241"/>
      <c r="F83" s="374"/>
      <c r="P83" s="193"/>
    </row>
    <row r="84" spans="2:16" s="76" customFormat="1" ht="21.75" customHeight="1" hidden="1">
      <c r="B84" s="290" t="s">
        <v>55</v>
      </c>
      <c r="C84" s="502"/>
      <c r="D84" s="502">
        <f t="shared" si="2"/>
        <v>0</v>
      </c>
      <c r="E84" s="241"/>
      <c r="F84" s="374"/>
      <c r="P84" s="193"/>
    </row>
    <row r="85" spans="2:16" s="76" customFormat="1" ht="9.75" customHeight="1" hidden="1">
      <c r="B85" s="75"/>
      <c r="C85" s="504"/>
      <c r="D85" s="504"/>
      <c r="E85" s="241"/>
      <c r="F85" s="374"/>
      <c r="P85" s="193"/>
    </row>
    <row r="86" spans="2:16" s="76" customFormat="1" ht="21.75" customHeight="1" hidden="1">
      <c r="B86" s="77" t="s">
        <v>25</v>
      </c>
      <c r="C86" s="501">
        <f>+C87</f>
        <v>0</v>
      </c>
      <c r="D86" s="501">
        <f>+D87</f>
        <v>0</v>
      </c>
      <c r="E86" s="241"/>
      <c r="F86" s="374"/>
      <c r="P86" s="193"/>
    </row>
    <row r="87" spans="2:16" s="76" customFormat="1" ht="21.75" customHeight="1" hidden="1">
      <c r="B87" s="290" t="s">
        <v>105</v>
      </c>
      <c r="C87" s="502"/>
      <c r="D87" s="502">
        <f>+C87*$E$9</f>
        <v>0</v>
      </c>
      <c r="E87" s="241"/>
      <c r="F87" s="374"/>
      <c r="P87" s="193"/>
    </row>
    <row r="88" spans="2:16" s="76" customFormat="1" ht="4.5" customHeight="1">
      <c r="B88" s="147"/>
      <c r="C88" s="514"/>
      <c r="D88" s="514"/>
      <c r="E88" s="241"/>
      <c r="F88" s="374"/>
      <c r="P88" s="193"/>
    </row>
    <row r="89" spans="2:16" s="76" customFormat="1" ht="15" customHeight="1">
      <c r="B89" s="662" t="s">
        <v>28</v>
      </c>
      <c r="C89" s="664">
        <f>C14+C39</f>
        <v>8550116.765930003</v>
      </c>
      <c r="D89" s="664">
        <f>+D14+D39</f>
        <v>32080038.10577999</v>
      </c>
      <c r="E89" s="241"/>
      <c r="F89" s="374"/>
      <c r="P89" s="193"/>
    </row>
    <row r="90" spans="2:16" s="109" customFormat="1" ht="15" customHeight="1">
      <c r="B90" s="663"/>
      <c r="C90" s="665"/>
      <c r="D90" s="665"/>
      <c r="E90" s="241"/>
      <c r="F90" s="374"/>
      <c r="G90" s="76"/>
      <c r="P90" s="194"/>
    </row>
    <row r="91" spans="2:16" s="76" customFormat="1" ht="7.5" customHeight="1">
      <c r="B91" s="148"/>
      <c r="C91" s="99"/>
      <c r="D91" s="99"/>
      <c r="E91" s="241"/>
      <c r="F91" s="374"/>
      <c r="P91" s="193"/>
    </row>
    <row r="92" spans="1:16" ht="14.25" customHeight="1">
      <c r="A92" s="292"/>
      <c r="B92" s="293" t="s">
        <v>197</v>
      </c>
      <c r="C92" s="304"/>
      <c r="D92" s="294"/>
      <c r="E92" s="241"/>
      <c r="F92" s="374"/>
      <c r="G92" s="76"/>
      <c r="P92" s="192"/>
    </row>
    <row r="93" spans="1:16" ht="14.25" customHeight="1">
      <c r="A93" s="292"/>
      <c r="B93" s="293" t="s">
        <v>198</v>
      </c>
      <c r="C93" s="295"/>
      <c r="D93" s="296"/>
      <c r="E93" s="241"/>
      <c r="F93" s="374"/>
      <c r="G93" s="76"/>
      <c r="P93" s="192"/>
    </row>
    <row r="94" spans="3:16" ht="14.25">
      <c r="C94" s="297"/>
      <c r="D94" s="298"/>
      <c r="E94" s="241"/>
      <c r="F94" s="374"/>
      <c r="G94" s="76"/>
      <c r="P94" s="192"/>
    </row>
    <row r="95" spans="3:16" ht="14.25">
      <c r="C95" s="300"/>
      <c r="D95" s="300"/>
      <c r="E95" s="241"/>
      <c r="F95" s="374"/>
      <c r="G95" s="301"/>
      <c r="H95" s="301"/>
      <c r="P95" s="192"/>
    </row>
    <row r="96" spans="3:16" ht="12.75">
      <c r="C96" s="302"/>
      <c r="D96" s="302"/>
      <c r="G96" s="301"/>
      <c r="H96" s="301"/>
      <c r="P96" s="192"/>
    </row>
    <row r="97" spans="3:16" ht="12.75">
      <c r="C97" s="303"/>
      <c r="D97" s="303"/>
      <c r="H97" s="299"/>
      <c r="P97" s="192"/>
    </row>
    <row r="98" spans="2:16" ht="18">
      <c r="B98" s="361" t="s">
        <v>120</v>
      </c>
      <c r="C98" s="361"/>
      <c r="D98" s="361"/>
      <c r="H98" s="299"/>
      <c r="P98" s="192"/>
    </row>
    <row r="99" spans="2:16" ht="18">
      <c r="B99" s="362" t="s">
        <v>133</v>
      </c>
      <c r="C99" s="362"/>
      <c r="D99" s="362"/>
      <c r="G99" s="301"/>
      <c r="P99" s="192"/>
    </row>
    <row r="100" spans="2:16" ht="18">
      <c r="B100" s="362" t="s">
        <v>134</v>
      </c>
      <c r="C100" s="362"/>
      <c r="D100" s="362"/>
      <c r="P100" s="192"/>
    </row>
    <row r="101" spans="2:16" ht="16.5">
      <c r="B101" s="366" t="s">
        <v>58</v>
      </c>
      <c r="C101" s="363"/>
      <c r="D101" s="363"/>
      <c r="P101" s="192"/>
    </row>
    <row r="102" spans="2:16" ht="15.75">
      <c r="B102" s="364" t="str">
        <f>+B9</f>
        <v>Al 30 de abril de 2024</v>
      </c>
      <c r="C102" s="364"/>
      <c r="D102" s="288"/>
      <c r="P102" s="192"/>
    </row>
    <row r="103" spans="2:16" s="76" customFormat="1" ht="6.75" customHeight="1">
      <c r="B103" s="565"/>
      <c r="C103" s="565"/>
      <c r="D103" s="565"/>
      <c r="E103" s="208"/>
      <c r="P103" s="193"/>
    </row>
    <row r="104" spans="2:16" ht="16.5" customHeight="1">
      <c r="B104" s="594" t="s">
        <v>95</v>
      </c>
      <c r="C104" s="658" t="s">
        <v>85</v>
      </c>
      <c r="D104" s="660" t="s">
        <v>161</v>
      </c>
      <c r="P104" s="192"/>
    </row>
    <row r="105" spans="2:16" s="109" customFormat="1" ht="16.5" customHeight="1">
      <c r="B105" s="595"/>
      <c r="C105" s="659"/>
      <c r="D105" s="661"/>
      <c r="E105" s="209"/>
      <c r="G105" s="305"/>
      <c r="P105" s="194"/>
    </row>
    <row r="106" spans="2:16" s="109" customFormat="1" ht="9.75" customHeight="1">
      <c r="B106" s="146"/>
      <c r="C106" s="515"/>
      <c r="D106" s="516"/>
      <c r="E106" s="209"/>
      <c r="G106" s="305"/>
      <c r="P106" s="194"/>
    </row>
    <row r="107" spans="2:16" s="76" customFormat="1" ht="19.5" customHeight="1">
      <c r="B107" s="78" t="s">
        <v>195</v>
      </c>
      <c r="C107" s="500">
        <f>+C109+C121</f>
        <v>995161.3626</v>
      </c>
      <c r="D107" s="500">
        <f>+D109+D121</f>
        <v>3733845.4324899996</v>
      </c>
      <c r="E107" s="208"/>
      <c r="G107" s="291"/>
      <c r="H107" s="291"/>
      <c r="P107" s="193"/>
    </row>
    <row r="108" spans="2:16" s="76" customFormat="1" ht="9.75" customHeight="1">
      <c r="B108" s="78"/>
      <c r="C108" s="500"/>
      <c r="D108" s="500"/>
      <c r="E108" s="208"/>
      <c r="G108" s="291"/>
      <c r="H108" s="291"/>
      <c r="P108" s="193"/>
    </row>
    <row r="109" spans="2:16" s="76" customFormat="1" ht="16.5" customHeight="1">
      <c r="B109" s="77" t="s">
        <v>24</v>
      </c>
      <c r="C109" s="501">
        <f>SUM(C110:C119)</f>
        <v>941856.45855</v>
      </c>
      <c r="D109" s="530">
        <f>SUM(D110:D119)</f>
        <v>3533845.4324899996</v>
      </c>
      <c r="E109" s="208"/>
      <c r="F109" s="208"/>
      <c r="G109" s="306"/>
      <c r="H109" s="306"/>
      <c r="P109" s="193"/>
    </row>
    <row r="110" spans="2:16" s="76" customFormat="1" ht="16.5" customHeight="1">
      <c r="B110" s="544" t="s">
        <v>194</v>
      </c>
      <c r="C110" s="513">
        <v>508201.74553</v>
      </c>
      <c r="D110" s="531">
        <f aca="true" t="shared" si="3" ref="D110:D119">ROUND(+C110*$E$9,5)</f>
        <v>1906772.94923</v>
      </c>
      <c r="E110" s="208"/>
      <c r="F110" s="208"/>
      <c r="G110" s="306"/>
      <c r="H110" s="306"/>
      <c r="P110" s="193"/>
    </row>
    <row r="111" spans="2:16" s="76" customFormat="1" ht="16.5" customHeight="1">
      <c r="B111" s="545" t="s">
        <v>231</v>
      </c>
      <c r="C111" s="513">
        <v>109466.01856</v>
      </c>
      <c r="D111" s="531">
        <f t="shared" si="3"/>
        <v>410716.50164</v>
      </c>
      <c r="E111" s="208"/>
      <c r="F111" s="208"/>
      <c r="G111" s="306"/>
      <c r="H111" s="306"/>
      <c r="P111" s="193"/>
    </row>
    <row r="112" spans="2:16" s="76" customFormat="1" ht="16.5" customHeight="1">
      <c r="B112" s="545" t="s">
        <v>244</v>
      </c>
      <c r="C112" s="513">
        <v>94208.82027999999</v>
      </c>
      <c r="D112" s="531">
        <f t="shared" si="3"/>
        <v>353471.49369</v>
      </c>
      <c r="E112" s="208"/>
      <c r="F112" s="208"/>
      <c r="G112" s="306"/>
      <c r="P112" s="193"/>
    </row>
    <row r="113" spans="2:16" s="76" customFormat="1" ht="16.5" customHeight="1">
      <c r="B113" s="545" t="s">
        <v>230</v>
      </c>
      <c r="C113" s="513">
        <v>64143.567820000004</v>
      </c>
      <c r="D113" s="531">
        <f t="shared" si="3"/>
        <v>240666.66646</v>
      </c>
      <c r="E113" s="208"/>
      <c r="F113" s="208"/>
      <c r="G113" s="306"/>
      <c r="P113" s="193"/>
    </row>
    <row r="114" spans="2:16" s="76" customFormat="1" ht="16.5" customHeight="1">
      <c r="B114" s="545" t="s">
        <v>232</v>
      </c>
      <c r="C114" s="513">
        <v>48581.90723</v>
      </c>
      <c r="D114" s="531">
        <f t="shared" si="3"/>
        <v>182279.31593</v>
      </c>
      <c r="E114" s="208"/>
      <c r="F114" s="208"/>
      <c r="G114" s="306"/>
      <c r="P114" s="193"/>
    </row>
    <row r="115" spans="2:16" s="76" customFormat="1" ht="16.5" customHeight="1">
      <c r="B115" s="545" t="s">
        <v>233</v>
      </c>
      <c r="C115" s="513">
        <v>41601.41405000001</v>
      </c>
      <c r="D115" s="531">
        <f t="shared" si="3"/>
        <v>156088.50552</v>
      </c>
      <c r="E115" s="208"/>
      <c r="F115" s="208"/>
      <c r="G115" s="306"/>
      <c r="P115" s="193"/>
    </row>
    <row r="116" spans="2:16" s="76" customFormat="1" ht="16.5" customHeight="1">
      <c r="B116" s="544" t="s">
        <v>164</v>
      </c>
      <c r="C116" s="513">
        <v>39179.104479999995</v>
      </c>
      <c r="D116" s="531">
        <f t="shared" si="3"/>
        <v>147000.00001</v>
      </c>
      <c r="E116" s="208"/>
      <c r="F116" s="208"/>
      <c r="G116" s="306"/>
      <c r="P116" s="193"/>
    </row>
    <row r="117" spans="2:16" s="76" customFormat="1" ht="16.5" customHeight="1">
      <c r="B117" s="545" t="s">
        <v>234</v>
      </c>
      <c r="C117" s="513">
        <v>30650.319840000004</v>
      </c>
      <c r="D117" s="531">
        <f t="shared" si="3"/>
        <v>115000.00004</v>
      </c>
      <c r="E117" s="208"/>
      <c r="F117" s="208"/>
      <c r="G117" s="306"/>
      <c r="P117" s="193"/>
    </row>
    <row r="118" spans="2:16" s="76" customFormat="1" ht="16.5" customHeight="1">
      <c r="B118" s="545" t="s">
        <v>242</v>
      </c>
      <c r="C118" s="513">
        <v>3158.31556</v>
      </c>
      <c r="D118" s="531">
        <f t="shared" si="3"/>
        <v>11849.99998</v>
      </c>
      <c r="E118" s="208"/>
      <c r="F118" s="208"/>
      <c r="G118" s="306"/>
      <c r="P118" s="193"/>
    </row>
    <row r="119" spans="2:16" s="76" customFormat="1" ht="16.5" customHeight="1">
      <c r="B119" s="545" t="s">
        <v>263</v>
      </c>
      <c r="C119" s="513">
        <v>2665.2452000000003</v>
      </c>
      <c r="D119" s="531">
        <f t="shared" si="3"/>
        <v>9999.99999</v>
      </c>
      <c r="E119" s="208"/>
      <c r="F119" s="208"/>
      <c r="G119" s="306"/>
      <c r="P119" s="193"/>
    </row>
    <row r="120" spans="2:16" s="76" customFormat="1" ht="12" customHeight="1">
      <c r="B120" s="546"/>
      <c r="C120" s="500"/>
      <c r="D120" s="500"/>
      <c r="E120" s="208"/>
      <c r="F120" s="208"/>
      <c r="G120" s="306"/>
      <c r="P120" s="193"/>
    </row>
    <row r="121" spans="2:16" s="76" customFormat="1" ht="16.5" customHeight="1">
      <c r="B121" s="77" t="s">
        <v>25</v>
      </c>
      <c r="C121" s="501">
        <f>SUM(C122:C122)</f>
        <v>53304.90405</v>
      </c>
      <c r="D121" s="501">
        <f>SUM(D122:D122)</f>
        <v>200000</v>
      </c>
      <c r="E121" s="208"/>
      <c r="F121" s="208"/>
      <c r="G121" s="306"/>
      <c r="P121" s="193"/>
    </row>
    <row r="122" spans="2:16" s="76" customFormat="1" ht="16.5" customHeight="1">
      <c r="B122" s="367" t="s">
        <v>166</v>
      </c>
      <c r="C122" s="513">
        <v>53304.90405</v>
      </c>
      <c r="D122" s="451">
        <f>ROUND(+C122*$E$9,5)</f>
        <v>200000</v>
      </c>
      <c r="E122" s="208"/>
      <c r="F122" s="208"/>
      <c r="G122" s="306"/>
      <c r="P122" s="193"/>
    </row>
    <row r="123" spans="2:16" s="76" customFormat="1" ht="9.75" customHeight="1">
      <c r="B123" s="147"/>
      <c r="C123" s="517"/>
      <c r="D123" s="531"/>
      <c r="E123" s="208"/>
      <c r="F123" s="208"/>
      <c r="G123" s="306"/>
      <c r="P123" s="193"/>
    </row>
    <row r="124" spans="2:16" s="76" customFormat="1" ht="15" customHeight="1">
      <c r="B124" s="666" t="s">
        <v>28</v>
      </c>
      <c r="C124" s="664">
        <f>+C107</f>
        <v>995161.3626</v>
      </c>
      <c r="D124" s="664">
        <f>+D107</f>
        <v>3733845.4324899996</v>
      </c>
      <c r="E124" s="208"/>
      <c r="F124" s="208"/>
      <c r="G124" s="306"/>
      <c r="P124" s="193"/>
    </row>
    <row r="125" spans="2:16" s="109" customFormat="1" ht="15" customHeight="1">
      <c r="B125" s="667"/>
      <c r="C125" s="668"/>
      <c r="D125" s="668"/>
      <c r="E125" s="208"/>
      <c r="F125" s="430"/>
      <c r="G125" s="306"/>
      <c r="P125" s="194"/>
    </row>
    <row r="126" spans="2:16" s="76" customFormat="1" ht="7.5" customHeight="1">
      <c r="B126" s="148"/>
      <c r="C126" s="99"/>
      <c r="D126" s="99"/>
      <c r="E126" s="208"/>
      <c r="F126" s="430"/>
      <c r="P126" s="193"/>
    </row>
    <row r="127" spans="1:16" ht="14.25" customHeight="1">
      <c r="A127" s="292"/>
      <c r="B127" s="293" t="s">
        <v>197</v>
      </c>
      <c r="C127" s="377"/>
      <c r="D127" s="377"/>
      <c r="P127" s="192"/>
    </row>
    <row r="128" spans="3:16" ht="12.75">
      <c r="C128" s="304"/>
      <c r="D128" s="304"/>
      <c r="P128" s="192"/>
    </row>
  </sheetData>
  <sheetProtection/>
  <mergeCells count="14">
    <mergeCell ref="B104:B105"/>
    <mergeCell ref="C104:C105"/>
    <mergeCell ref="D104:D105"/>
    <mergeCell ref="B124:B125"/>
    <mergeCell ref="C124:C125"/>
    <mergeCell ref="D124:D125"/>
    <mergeCell ref="B10:D10"/>
    <mergeCell ref="B103:D103"/>
    <mergeCell ref="B11:B12"/>
    <mergeCell ref="C11:C12"/>
    <mergeCell ref="D11:D12"/>
    <mergeCell ref="B89:B90"/>
    <mergeCell ref="C89:C90"/>
    <mergeCell ref="D89:D90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51" t="s">
        <v>18</v>
      </c>
      <c r="C6" s="551"/>
      <c r="D6" s="551"/>
      <c r="E6" s="551"/>
      <c r="F6" s="551"/>
      <c r="G6" s="551"/>
    </row>
    <row r="7" spans="2:7" s="4" customFormat="1" ht="15.75">
      <c r="B7" s="552" t="str">
        <f>+Indice!B7</f>
        <v>AL 30 DE ABRIL 2024</v>
      </c>
      <c r="C7" s="552"/>
      <c r="D7" s="552"/>
      <c r="E7" s="552"/>
      <c r="F7" s="552"/>
      <c r="G7" s="552"/>
    </row>
    <row r="8" spans="2:7" ht="12.75">
      <c r="B8" s="84"/>
      <c r="C8" s="84"/>
      <c r="D8" s="84"/>
      <c r="E8" s="84"/>
      <c r="F8" s="84"/>
      <c r="G8" s="84"/>
    </row>
    <row r="9" spans="2:7" ht="54.75" customHeight="1">
      <c r="B9" s="184" t="s">
        <v>2</v>
      </c>
      <c r="C9" s="184" t="s">
        <v>8</v>
      </c>
      <c r="D9" s="554" t="s">
        <v>140</v>
      </c>
      <c r="E9" s="554"/>
      <c r="F9" s="554"/>
      <c r="G9" s="554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128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5" t="s">
        <v>129</v>
      </c>
      <c r="E13" s="555"/>
      <c r="F13" s="555"/>
      <c r="G13" s="555"/>
      <c r="H13" s="555"/>
    </row>
    <row r="14" spans="2:8" ht="15.75" customHeight="1">
      <c r="B14" s="52"/>
      <c r="C14" s="52"/>
      <c r="D14" s="555" t="s">
        <v>130</v>
      </c>
      <c r="E14" s="555"/>
      <c r="F14" s="555"/>
      <c r="G14" s="555"/>
      <c r="H14" s="555"/>
    </row>
    <row r="15" spans="2:7" ht="15.75" customHeight="1">
      <c r="B15" s="52"/>
      <c r="C15" s="52"/>
      <c r="D15" s="29" t="s">
        <v>131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256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125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126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127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8">
        <v>45412</v>
      </c>
      <c r="E22" s="557"/>
      <c r="F22" s="557"/>
      <c r="G22" s="557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7" t="s">
        <v>17</v>
      </c>
      <c r="E24" s="557"/>
      <c r="F24" s="557"/>
      <c r="G24" s="557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4" t="s">
        <v>149</v>
      </c>
      <c r="E26" s="554"/>
      <c r="F26" s="554"/>
      <c r="G26" s="554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157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81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45443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80</v>
      </c>
      <c r="C35" s="55" t="s">
        <v>8</v>
      </c>
      <c r="D35" s="29" t="s">
        <v>82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5" t="s">
        <v>158</v>
      </c>
      <c r="E37" s="555"/>
      <c r="F37" s="555"/>
      <c r="G37" s="555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7" t="s">
        <v>168</v>
      </c>
      <c r="E39" s="557"/>
      <c r="F39" s="557"/>
      <c r="G39" s="557"/>
      <c r="H39" s="556">
        <v>3.752</v>
      </c>
    </row>
    <row r="40" spans="4:8" ht="15.75" customHeight="1">
      <c r="D40" s="557"/>
      <c r="E40" s="557"/>
      <c r="F40" s="557"/>
      <c r="G40" s="557"/>
      <c r="H40" s="556"/>
    </row>
    <row r="41" ht="15.75" customHeight="1"/>
    <row r="42" spans="2:4" ht="12.75">
      <c r="B42" s="55" t="s">
        <v>68</v>
      </c>
      <c r="C42" s="55" t="s">
        <v>8</v>
      </c>
      <c r="D42" s="6" t="s">
        <v>69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32.421875" style="118" customWidth="1"/>
    <col min="3" max="4" width="15.7109375" style="118" customWidth="1"/>
    <col min="5" max="5" width="10.7109375" style="118" customWidth="1"/>
    <col min="6" max="6" width="4.28125" style="118" customWidth="1"/>
    <col min="7" max="7" width="30.8515625" style="118" customWidth="1"/>
    <col min="8" max="8" width="17.57421875" style="118" bestFit="1" customWidth="1"/>
    <col min="9" max="9" width="18.57421875" style="118" bestFit="1" customWidth="1"/>
    <col min="10" max="10" width="10.7109375" style="118" customWidth="1"/>
    <col min="11" max="11" width="0.71875" style="118" customWidth="1"/>
    <col min="12" max="12" width="15.7109375" style="118" customWidth="1"/>
    <col min="13" max="13" width="2.421875" style="118" customWidth="1"/>
    <col min="14" max="19" width="15.7109375" style="118" customWidth="1"/>
    <col min="20" max="16384" width="15.7109375" style="126" customWidth="1"/>
  </cols>
  <sheetData>
    <row r="1" s="128" customFormat="1" ht="15.75" customHeight="1"/>
    <row r="2" s="128" customFormat="1" ht="15.75" customHeight="1">
      <c r="D2" s="149"/>
    </row>
    <row r="3" s="128" customFormat="1" ht="15.75" customHeight="1">
      <c r="D3" s="149"/>
    </row>
    <row r="4" spans="1:19" s="151" customFormat="1" ht="18" customHeight="1">
      <c r="A4" s="128"/>
      <c r="B4" s="128"/>
      <c r="C4" s="128"/>
      <c r="D4" s="128"/>
      <c r="E4" s="128"/>
      <c r="F4" s="128"/>
      <c r="G4" s="128"/>
      <c r="H4" s="117"/>
      <c r="I4" s="117"/>
      <c r="J4" s="117"/>
      <c r="K4" s="117"/>
      <c r="L4" s="117"/>
      <c r="M4" s="117"/>
      <c r="N4" s="117"/>
      <c r="O4" s="150"/>
      <c r="P4" s="150"/>
      <c r="Q4" s="150"/>
      <c r="R4" s="150"/>
      <c r="S4" s="150"/>
    </row>
    <row r="5" spans="1:19" s="151" customFormat="1" ht="19.5" customHeight="1">
      <c r="A5" s="128"/>
      <c r="B5" s="551" t="s">
        <v>170</v>
      </c>
      <c r="C5" s="551"/>
      <c r="D5" s="551"/>
      <c r="E5" s="551"/>
      <c r="F5" s="551"/>
      <c r="G5" s="551"/>
      <c r="H5" s="551"/>
      <c r="I5" s="551"/>
      <c r="J5" s="551"/>
      <c r="K5" s="117"/>
      <c r="L5" s="117"/>
      <c r="M5" s="117"/>
      <c r="N5" s="117"/>
      <c r="O5" s="150"/>
      <c r="P5" s="150"/>
      <c r="Q5" s="150"/>
      <c r="R5" s="150"/>
      <c r="S5" s="150"/>
    </row>
    <row r="6" spans="1:19" s="151" customFormat="1" ht="19.5" customHeight="1">
      <c r="A6" s="128"/>
      <c r="B6" s="564" t="s">
        <v>18</v>
      </c>
      <c r="C6" s="564"/>
      <c r="D6" s="564"/>
      <c r="E6" s="564"/>
      <c r="F6" s="564"/>
      <c r="G6" s="564"/>
      <c r="H6" s="564"/>
      <c r="I6" s="564"/>
      <c r="J6" s="564"/>
      <c r="K6" s="117"/>
      <c r="L6" s="117"/>
      <c r="M6" s="117"/>
      <c r="N6" s="117"/>
      <c r="O6" s="150"/>
      <c r="P6" s="150"/>
      <c r="Q6" s="150"/>
      <c r="R6" s="150"/>
      <c r="S6" s="150"/>
    </row>
    <row r="7" spans="1:19" s="151" customFormat="1" ht="18" customHeight="1">
      <c r="A7" s="128"/>
      <c r="B7" s="552" t="str">
        <f>+Indice!B7</f>
        <v>AL 30 DE ABRIL 2024</v>
      </c>
      <c r="C7" s="552"/>
      <c r="D7" s="552"/>
      <c r="E7" s="552"/>
      <c r="F7" s="552"/>
      <c r="G7" s="552"/>
      <c r="H7" s="552"/>
      <c r="I7" s="552"/>
      <c r="J7" s="552"/>
      <c r="K7" s="117"/>
      <c r="L7" s="117"/>
      <c r="M7" s="117"/>
      <c r="N7" s="117"/>
      <c r="O7" s="150"/>
      <c r="P7" s="150"/>
      <c r="Q7" s="150"/>
      <c r="R7" s="150"/>
      <c r="S7" s="150"/>
    </row>
    <row r="8" spans="1:19" s="151" customFormat="1" ht="19.5" customHeight="1">
      <c r="A8" s="128"/>
      <c r="B8" s="552"/>
      <c r="C8" s="552"/>
      <c r="D8" s="552"/>
      <c r="E8" s="552"/>
      <c r="F8" s="552"/>
      <c r="G8" s="552"/>
      <c r="H8" s="552"/>
      <c r="I8" s="552"/>
      <c r="J8" s="552"/>
      <c r="K8" s="117"/>
      <c r="L8" s="117"/>
      <c r="M8" s="117"/>
      <c r="N8" s="117"/>
      <c r="O8" s="150"/>
      <c r="P8" s="150"/>
      <c r="Q8" s="150"/>
      <c r="R8" s="150"/>
      <c r="S8" s="150"/>
    </row>
    <row r="9" spans="1:19" s="151" customFormat="1" ht="15.75" customHeight="1">
      <c r="A9" s="128"/>
      <c r="B9" s="565" t="s">
        <v>159</v>
      </c>
      <c r="C9" s="565"/>
      <c r="D9" s="565"/>
      <c r="E9" s="565"/>
      <c r="F9" s="565"/>
      <c r="G9" s="565"/>
      <c r="H9" s="254"/>
      <c r="I9" s="254"/>
      <c r="J9" s="254"/>
      <c r="K9" s="117"/>
      <c r="L9" s="195"/>
      <c r="M9" s="117"/>
      <c r="N9" s="117"/>
      <c r="O9" s="150"/>
      <c r="P9" s="150"/>
      <c r="Q9" s="150"/>
      <c r="R9" s="150"/>
      <c r="S9" s="150"/>
    </row>
    <row r="10" spans="1:19" s="151" customFormat="1" ht="12" customHeight="1">
      <c r="A10" s="116"/>
      <c r="B10" s="116"/>
      <c r="C10" s="116"/>
      <c r="D10" s="116"/>
      <c r="E10" s="116"/>
      <c r="F10" s="116"/>
      <c r="G10" s="116"/>
      <c r="H10" s="117"/>
      <c r="I10" s="117"/>
      <c r="J10" s="117"/>
      <c r="K10" s="117"/>
      <c r="L10" s="152"/>
      <c r="M10" s="117"/>
      <c r="N10" s="117"/>
      <c r="O10" s="150"/>
      <c r="P10" s="150"/>
      <c r="Q10" s="150"/>
      <c r="R10" s="150"/>
      <c r="S10" s="150"/>
    </row>
    <row r="11" spans="2:10" ht="19.5" customHeight="1">
      <c r="B11" s="561" t="s">
        <v>151</v>
      </c>
      <c r="C11" s="562"/>
      <c r="D11" s="562"/>
      <c r="E11" s="563"/>
      <c r="G11" s="561" t="s">
        <v>31</v>
      </c>
      <c r="H11" s="562"/>
      <c r="I11" s="562"/>
      <c r="J11" s="563"/>
    </row>
    <row r="12" spans="2:10" ht="19.5" customHeight="1">
      <c r="B12" s="119"/>
      <c r="C12" s="400" t="s">
        <v>75</v>
      </c>
      <c r="D12" s="401" t="s">
        <v>160</v>
      </c>
      <c r="E12" s="397" t="s">
        <v>27</v>
      </c>
      <c r="G12" s="122"/>
      <c r="H12" s="394" t="s">
        <v>75</v>
      </c>
      <c r="I12" s="394" t="str">
        <f>+D12</f>
        <v>Soles</v>
      </c>
      <c r="J12" s="467" t="s">
        <v>222</v>
      </c>
    </row>
    <row r="13" spans="2:15" ht="19.5" customHeight="1">
      <c r="B13" s="123" t="s">
        <v>71</v>
      </c>
      <c r="C13" s="395">
        <f>(+'DEP-C2'!C18+'DEP-C2'!C42)/1000</f>
        <v>7605.83557022</v>
      </c>
      <c r="D13" s="395">
        <f>(+'DEP-C2'!D18+'DEP-C2'!D42)/1000</f>
        <v>28537.09505945856</v>
      </c>
      <c r="E13" s="398">
        <f>+C13/$C$15</f>
        <v>0.7968165482247002</v>
      </c>
      <c r="G13" s="123" t="s">
        <v>72</v>
      </c>
      <c r="H13" s="395">
        <f>+C21+C22+C23+C24</f>
        <v>4282.542649849999</v>
      </c>
      <c r="I13" s="395">
        <f>+D21+D22+D23+D24</f>
        <v>16068.10002224</v>
      </c>
      <c r="J13" s="465">
        <f>+H13/$H$15</f>
        <v>0.4486556171736741</v>
      </c>
      <c r="N13" s="196"/>
      <c r="O13" s="196"/>
    </row>
    <row r="14" spans="2:15" ht="19.5" customHeight="1">
      <c r="B14" s="123" t="s">
        <v>70</v>
      </c>
      <c r="C14" s="395">
        <f>(+'DEP-C2'!C14+'DEP-C2'!C38)/1000</f>
        <v>1939.4425583099992</v>
      </c>
      <c r="D14" s="395">
        <f>(+'DEP-C2'!D14+'DEP-C2'!D38)/1000</f>
        <v>7276.788478776641</v>
      </c>
      <c r="E14" s="398">
        <f>+C14/$C$15</f>
        <v>0.2031834517752998</v>
      </c>
      <c r="G14" s="123" t="s">
        <v>73</v>
      </c>
      <c r="H14" s="395">
        <f>+C20</f>
        <v>5262.73547868</v>
      </c>
      <c r="I14" s="395">
        <f>+D20</f>
        <v>19745.78351601</v>
      </c>
      <c r="J14" s="465">
        <f>+H14/$H$15</f>
        <v>0.5513443828263259</v>
      </c>
      <c r="O14" s="153"/>
    </row>
    <row r="15" spans="2:15" ht="19.5" customHeight="1">
      <c r="B15" s="124" t="s">
        <v>28</v>
      </c>
      <c r="C15" s="396">
        <f>SUM(C13:C14)</f>
        <v>9545.278128529999</v>
      </c>
      <c r="D15" s="396">
        <f>SUM(D13:D14)</f>
        <v>35813.8835382352</v>
      </c>
      <c r="E15" s="399">
        <f>SUM(E13:E14)</f>
        <v>1</v>
      </c>
      <c r="G15" s="124" t="s">
        <v>28</v>
      </c>
      <c r="H15" s="396">
        <f>SUM(H13:H14)</f>
        <v>9545.278128529999</v>
      </c>
      <c r="I15" s="396">
        <f>SUM(I13:I14)</f>
        <v>35813.88353825</v>
      </c>
      <c r="J15" s="466">
        <f>SUM(J13:J14)</f>
        <v>1</v>
      </c>
      <c r="O15" s="153"/>
    </row>
    <row r="16" spans="2:10" ht="19.5" customHeight="1">
      <c r="B16" s="121"/>
      <c r="C16" s="472"/>
      <c r="D16" s="263"/>
      <c r="E16" s="217"/>
      <c r="G16" s="121"/>
      <c r="H16" s="264"/>
      <c r="I16" s="264"/>
      <c r="J16" s="217"/>
    </row>
    <row r="17" spans="2:8" ht="19.5" customHeight="1">
      <c r="B17" s="161"/>
      <c r="C17" s="265"/>
      <c r="H17" s="125"/>
    </row>
    <row r="18" spans="2:12" ht="19.5" customHeight="1">
      <c r="B18" s="561" t="s">
        <v>66</v>
      </c>
      <c r="C18" s="562"/>
      <c r="D18" s="562"/>
      <c r="E18" s="563"/>
      <c r="G18" s="561" t="s">
        <v>61</v>
      </c>
      <c r="H18" s="562"/>
      <c r="I18" s="562"/>
      <c r="J18" s="563"/>
      <c r="L18" s="125"/>
    </row>
    <row r="19" spans="2:10" ht="19.5" customHeight="1">
      <c r="B19" s="122"/>
      <c r="C19" s="394" t="s">
        <v>75</v>
      </c>
      <c r="D19" s="394" t="str">
        <f>+D12</f>
        <v>Soles</v>
      </c>
      <c r="E19" s="402" t="s">
        <v>27</v>
      </c>
      <c r="G19" s="122"/>
      <c r="H19" s="394" t="s">
        <v>75</v>
      </c>
      <c r="I19" s="394" t="str">
        <f>+I12</f>
        <v>Soles</v>
      </c>
      <c r="J19" s="402" t="s">
        <v>27</v>
      </c>
    </row>
    <row r="20" spans="2:12" ht="19.5" customHeight="1">
      <c r="B20" s="123" t="s">
        <v>73</v>
      </c>
      <c r="C20" s="395">
        <f>+(+'DEP-C7'!D20+'DEP-C7'!D36)/1000</f>
        <v>5262.73547868</v>
      </c>
      <c r="D20" s="395">
        <f>+(+'DEP-C7'!E20+'DEP-C7'!E36)/1000</f>
        <v>19745.78351601</v>
      </c>
      <c r="E20" s="398">
        <f>+C20/$C$25</f>
        <v>0.5513443828263259</v>
      </c>
      <c r="G20" s="123" t="s">
        <v>75</v>
      </c>
      <c r="H20" s="395">
        <f>('DEP-C3'!C22+'DEP-C3'!C57)/1000</f>
        <v>7205.8962639500005</v>
      </c>
      <c r="I20" s="395">
        <f>('DEP-C3'!D22+'DEP-C3'!D57)/1000</f>
        <v>27036.522782340002</v>
      </c>
      <c r="J20" s="398">
        <f>+H20/$H$24</f>
        <v>0.7549173703396036</v>
      </c>
      <c r="L20" s="154"/>
    </row>
    <row r="21" spans="2:12" ht="19.5" customHeight="1">
      <c r="B21" s="123" t="s">
        <v>74</v>
      </c>
      <c r="C21" s="395">
        <f>+(+'DEP-C7'!D15+'DEP-C7'!D30+'DEP-C7'!D88+'DEP-C7'!D70)/1000</f>
        <v>2665.7776266799997</v>
      </c>
      <c r="D21" s="395">
        <f>+(+'DEP-C7'!E15+'DEP-C7'!E30+'DEP-C7'!E89+'DEP-C7'!E70)/1000</f>
        <v>10001.9976553</v>
      </c>
      <c r="E21" s="398">
        <f>+C21/$C$25</f>
        <v>0.2792771033787087</v>
      </c>
      <c r="G21" s="123" t="s">
        <v>160</v>
      </c>
      <c r="H21" s="395">
        <f>('DEP-C3'!C14+'DEP-C3'!C49)/1000</f>
        <v>1897.98368945</v>
      </c>
      <c r="I21" s="395">
        <f>(+'DEP-C3'!D14+'DEP-C3'!D49)/1000</f>
        <v>7121.2348028156</v>
      </c>
      <c r="J21" s="398">
        <f>+H21/$H$24</f>
        <v>0.19884006143069763</v>
      </c>
      <c r="L21" s="167"/>
    </row>
    <row r="22" spans="2:12" ht="19.5" customHeight="1">
      <c r="B22" s="123" t="s">
        <v>208</v>
      </c>
      <c r="C22" s="395">
        <f>+('DEP-C7'!D22+'DEP-C7'!D39)/1000</f>
        <v>450.81955366000005</v>
      </c>
      <c r="D22" s="395">
        <f>+('DEP-C7'!E22+'DEP-C7'!E39)/1000</f>
        <v>1691.47496533</v>
      </c>
      <c r="E22" s="398">
        <f>+C22/$C$25</f>
        <v>0.04722958803186048</v>
      </c>
      <c r="G22" s="123" t="s">
        <v>76</v>
      </c>
      <c r="H22" s="395">
        <f>+'DEP-C3'!C26/1000</f>
        <v>54.44885137</v>
      </c>
      <c r="I22" s="395">
        <f>+'DEP-C3'!D26/1000</f>
        <v>204.29209034</v>
      </c>
      <c r="J22" s="398">
        <f>+H22/$H$24</f>
        <v>0.005704270806657498</v>
      </c>
      <c r="L22" s="197"/>
    </row>
    <row r="23" spans="2:12" ht="19.5" customHeight="1">
      <c r="B23" s="123" t="s">
        <v>124</v>
      </c>
      <c r="C23" s="395">
        <f>+('DEP-C7'!D18+'DEP-C7'!D34+'DEP-C7'!D82)/1000</f>
        <v>476.78409389999996</v>
      </c>
      <c r="D23" s="395">
        <f>(+'DEP-C7'!E18+'DEP-C7'!E34+'DEP-C7'!E82)/1000</f>
        <v>1788.8939203099999</v>
      </c>
      <c r="E23" s="398">
        <f>+C23/$C$25</f>
        <v>0.04994973299677189</v>
      </c>
      <c r="G23" s="123" t="s">
        <v>77</v>
      </c>
      <c r="H23" s="229">
        <f>+'DEP-C3'!C30/1000</f>
        <v>386.94932376</v>
      </c>
      <c r="I23" s="229">
        <f>+'DEP-C3'!D30/1000</f>
        <v>1451.83386275</v>
      </c>
      <c r="J23" s="398">
        <f>+H23/$H$24</f>
        <v>0.040538297423041283</v>
      </c>
      <c r="L23" s="167"/>
    </row>
    <row r="24" spans="2:12" ht="19.5" customHeight="1">
      <c r="B24" s="123" t="s">
        <v>36</v>
      </c>
      <c r="C24" s="395">
        <f>+('DEP-C7'!D25+'DEP-C7'!D41+'DEP-C7'!D84)/1000</f>
        <v>689.1613756099999</v>
      </c>
      <c r="D24" s="395">
        <f>+('DEP-C7'!E25+'DEP-C7'!E41+'DEP-C7'!E84)/1000</f>
        <v>2585.7334813</v>
      </c>
      <c r="E24" s="398">
        <f>+C24/$C$25</f>
        <v>0.07219919276633302</v>
      </c>
      <c r="G24" s="124" t="s">
        <v>28</v>
      </c>
      <c r="H24" s="396">
        <f>SUM(H20:H23)</f>
        <v>9545.27812853</v>
      </c>
      <c r="I24" s="396">
        <f>SUM(I20:I23)</f>
        <v>35813.8835382456</v>
      </c>
      <c r="J24" s="399">
        <f>SUM(J20:J23)</f>
        <v>1</v>
      </c>
      <c r="L24" s="198"/>
    </row>
    <row r="25" spans="2:5" ht="19.5" customHeight="1">
      <c r="B25" s="124" t="s">
        <v>28</v>
      </c>
      <c r="C25" s="396">
        <f>SUM(C20:C24)</f>
        <v>9545.278128529999</v>
      </c>
      <c r="D25" s="396">
        <f>SUM(D20:D24)</f>
        <v>35813.88353825</v>
      </c>
      <c r="E25" s="399">
        <f>SUM(E20:E24)</f>
        <v>1</v>
      </c>
    </row>
    <row r="26" spans="3:9" ht="19.5" customHeight="1">
      <c r="C26" s="229"/>
      <c r="H26" s="167"/>
      <c r="I26" s="167"/>
    </row>
    <row r="27" spans="2:8" ht="19.5" customHeight="1">
      <c r="B27" s="121"/>
      <c r="C27" s="266"/>
      <c r="D27" s="267"/>
      <c r="E27" s="217"/>
      <c r="G27" s="219"/>
      <c r="H27" s="229"/>
    </row>
    <row r="28" spans="2:10" ht="19.5" customHeight="1">
      <c r="B28" s="561" t="s">
        <v>29</v>
      </c>
      <c r="C28" s="562"/>
      <c r="D28" s="562"/>
      <c r="E28" s="563"/>
      <c r="G28" s="561" t="s">
        <v>30</v>
      </c>
      <c r="H28" s="562"/>
      <c r="I28" s="562"/>
      <c r="J28" s="563"/>
    </row>
    <row r="29" spans="2:10" ht="19.5" customHeight="1">
      <c r="B29" s="122"/>
      <c r="C29" s="394" t="s">
        <v>75</v>
      </c>
      <c r="D29" s="394" t="str">
        <f>+D19</f>
        <v>Soles</v>
      </c>
      <c r="E29" s="402" t="s">
        <v>27</v>
      </c>
      <c r="G29" s="122"/>
      <c r="H29" s="120" t="s">
        <v>75</v>
      </c>
      <c r="I29" s="120" t="str">
        <f>+I19</f>
        <v>Soles</v>
      </c>
      <c r="J29" s="403" t="s">
        <v>27</v>
      </c>
    </row>
    <row r="30" spans="2:14" ht="19.5" customHeight="1">
      <c r="B30" s="123" t="s">
        <v>90</v>
      </c>
      <c r="C30" s="395">
        <f>(+'DEP-C2'!C16+'DEP-C2'!C20+'DEP-C2'!C40+'DEP-C2'!C44)/1000</f>
        <v>4060.403916129999</v>
      </c>
      <c r="D30" s="395">
        <f>(+'DEP-C2'!D16+'DEP-C2'!D20+'DEP-C2'!D40+'DEP-C2'!D44)/1000</f>
        <v>15234.6354933156</v>
      </c>
      <c r="E30" s="398">
        <f>+C30/$C$32</f>
        <v>0.42538351019796977</v>
      </c>
      <c r="G30" s="123" t="s">
        <v>78</v>
      </c>
      <c r="H30" s="395">
        <f>'DEP-C2'!C22/1000</f>
        <v>8550.116765929999</v>
      </c>
      <c r="I30" s="395">
        <f>+'DEP-C2'!D22/1000</f>
        <v>32080.03810576</v>
      </c>
      <c r="J30" s="398">
        <f>+H30/$H$32</f>
        <v>0.8957430732557127</v>
      </c>
      <c r="N30" s="154"/>
    </row>
    <row r="31" spans="2:14" ht="19.5" customHeight="1">
      <c r="B31" s="123" t="s">
        <v>91</v>
      </c>
      <c r="C31" s="395">
        <f>(+'DEP-C2'!C15+'DEP-C2'!C19+'DEP-C2'!C39+'DEP-C2'!C43)/1000</f>
        <v>5484.8742124</v>
      </c>
      <c r="D31" s="395">
        <f>(+'DEP-C2'!D15+'DEP-C2'!D19+'DEP-C2'!D39+'DEP-C2'!D43)/1000</f>
        <v>20579.248044919594</v>
      </c>
      <c r="E31" s="398">
        <f>+C31/$C$32</f>
        <v>0.5746164898020302</v>
      </c>
      <c r="G31" s="123" t="s">
        <v>79</v>
      </c>
      <c r="H31" s="395">
        <f>+'DEP-C2'!C46/1000</f>
        <v>995.1613626000001</v>
      </c>
      <c r="I31" s="395">
        <f>+'DEP-C2'!D46/1000</f>
        <v>3733.8454324752</v>
      </c>
      <c r="J31" s="398">
        <f>+H31/$H$32</f>
        <v>0.10425692674428733</v>
      </c>
      <c r="N31" s="155"/>
    </row>
    <row r="32" spans="2:14" ht="19.5" customHeight="1">
      <c r="B32" s="124" t="s">
        <v>28</v>
      </c>
      <c r="C32" s="396">
        <f>SUM(C30:C31)</f>
        <v>9545.278128529999</v>
      </c>
      <c r="D32" s="396">
        <f>SUM(D30:D31)</f>
        <v>35813.8835382352</v>
      </c>
      <c r="E32" s="399">
        <f>SUM(E30:E31)</f>
        <v>1</v>
      </c>
      <c r="G32" s="124" t="s">
        <v>28</v>
      </c>
      <c r="H32" s="396">
        <f>SUM(H30:H31)</f>
        <v>9545.278128529999</v>
      </c>
      <c r="I32" s="396">
        <f>SUM(I30:I31)</f>
        <v>35813.8835382352</v>
      </c>
      <c r="J32" s="399">
        <f>SUM(J30:J31)</f>
        <v>1</v>
      </c>
      <c r="N32" s="153"/>
    </row>
    <row r="33" ht="8.25" customHeight="1"/>
    <row r="34" spans="2:10" ht="15.75" customHeight="1">
      <c r="B34" s="230"/>
      <c r="C34" s="548"/>
      <c r="D34" s="268"/>
      <c r="E34" s="230"/>
      <c r="F34" s="230"/>
      <c r="G34" s="230"/>
      <c r="H34" s="268"/>
      <c r="I34" s="268"/>
      <c r="J34" s="230"/>
    </row>
    <row r="35" spans="2:10" ht="5.25" customHeight="1">
      <c r="B35" s="231"/>
      <c r="C35" s="231"/>
      <c r="D35" s="231"/>
      <c r="E35" s="231"/>
      <c r="F35" s="231"/>
      <c r="G35" s="231"/>
      <c r="H35" s="231"/>
      <c r="J35" s="232"/>
    </row>
    <row r="36" spans="2:9" ht="15.75" customHeight="1">
      <c r="B36" s="233"/>
      <c r="C36" s="234"/>
      <c r="D36" s="234"/>
      <c r="E36" s="235"/>
      <c r="F36" s="84"/>
      <c r="G36" s="84"/>
      <c r="H36" s="236"/>
      <c r="I36" s="167"/>
    </row>
    <row r="37" spans="2:8" ht="15.75" customHeight="1">
      <c r="B37" s="559"/>
      <c r="C37" s="560"/>
      <c r="D37" s="560"/>
      <c r="E37" s="560"/>
      <c r="F37" s="84"/>
      <c r="G37" s="84"/>
      <c r="H37" s="84"/>
    </row>
    <row r="38" spans="2:6" s="76" customFormat="1" ht="15.75" customHeight="1">
      <c r="B38" s="84"/>
      <c r="C38" s="237"/>
      <c r="D38" s="238"/>
      <c r="E38" s="84"/>
      <c r="F38" s="245"/>
    </row>
    <row r="39" spans="2:6" s="76" customFormat="1" ht="15.75" customHeight="1">
      <c r="B39" s="84"/>
      <c r="C39" s="156"/>
      <c r="D39" s="84"/>
      <c r="E39" s="84"/>
      <c r="F39" s="245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51" t="s">
        <v>171</v>
      </c>
      <c r="C5" s="551"/>
      <c r="D5" s="551"/>
      <c r="E5" s="551"/>
      <c r="F5" s="551"/>
      <c r="G5" s="551"/>
      <c r="H5" s="551"/>
    </row>
    <row r="6" spans="2:8" s="4" customFormat="1" ht="19.5" customHeight="1">
      <c r="B6" s="564" t="s">
        <v>18</v>
      </c>
      <c r="C6" s="564"/>
      <c r="D6" s="564"/>
      <c r="E6" s="564"/>
      <c r="F6" s="564"/>
      <c r="G6" s="564"/>
      <c r="H6" s="564"/>
    </row>
    <row r="7" spans="2:8" s="4" customFormat="1" ht="18" customHeight="1">
      <c r="B7" s="552" t="str">
        <f>+Indice!B7</f>
        <v>AL 30 DE ABRIL 2024</v>
      </c>
      <c r="C7" s="552"/>
      <c r="D7" s="552"/>
      <c r="E7" s="552"/>
      <c r="F7" s="552"/>
      <c r="G7" s="552"/>
      <c r="H7" s="552"/>
    </row>
    <row r="8" spans="2:9" s="4" customFormat="1" ht="24.75" customHeight="1">
      <c r="B8" s="254"/>
      <c r="C8" s="254"/>
      <c r="D8" s="254"/>
      <c r="E8" s="254"/>
      <c r="F8" s="254"/>
      <c r="G8" s="254"/>
      <c r="H8" s="254"/>
      <c r="I8" s="47"/>
    </row>
    <row r="9" spans="2:8" ht="17.25" customHeight="1">
      <c r="B9" s="84"/>
      <c r="C9" s="84"/>
      <c r="D9" s="84"/>
      <c r="E9" s="84"/>
      <c r="F9" s="84"/>
      <c r="G9" s="84"/>
      <c r="H9" s="84"/>
    </row>
    <row r="10" spans="2:8" ht="16.5">
      <c r="B10" s="568" t="str">
        <f>+Resumen!B11:E11</f>
        <v>TIPO DE DEUDA</v>
      </c>
      <c r="C10" s="568"/>
      <c r="D10" s="568"/>
      <c r="E10" s="88"/>
      <c r="F10" s="568" t="s">
        <v>31</v>
      </c>
      <c r="G10" s="568"/>
      <c r="H10" s="568"/>
    </row>
    <row r="11" spans="2:8" ht="12.75">
      <c r="B11" s="84"/>
      <c r="C11" s="84"/>
      <c r="D11" s="84"/>
      <c r="E11" s="84"/>
      <c r="F11" s="84"/>
      <c r="G11" s="84"/>
      <c r="H11" s="84"/>
    </row>
    <row r="28" spans="2:8" s="23" customFormat="1" ht="16.5">
      <c r="B28" s="568" t="str">
        <f>+Resumen!B18:E18</f>
        <v>GRUPO DEL ACREEDOR</v>
      </c>
      <c r="C28" s="568"/>
      <c r="D28" s="568"/>
      <c r="F28" s="568" t="s">
        <v>61</v>
      </c>
      <c r="G28" s="568"/>
      <c r="H28" s="568"/>
    </row>
    <row r="48" spans="2:8" s="23" customFormat="1" ht="16.5">
      <c r="B48" s="568" t="s">
        <v>29</v>
      </c>
      <c r="C48" s="568"/>
      <c r="D48" s="568"/>
      <c r="F48" s="568" t="s">
        <v>30</v>
      </c>
      <c r="G48" s="568"/>
      <c r="H48" s="568"/>
    </row>
    <row r="66" spans="2:8" ht="30" customHeight="1">
      <c r="B66" s="569"/>
      <c r="C66" s="569"/>
      <c r="D66" s="569"/>
      <c r="E66" s="569"/>
      <c r="F66" s="569"/>
      <c r="G66" s="569"/>
      <c r="H66" s="569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6"/>
      <c r="C69" s="567"/>
      <c r="D69" s="567"/>
      <c r="E69" s="567"/>
      <c r="F69" s="51"/>
      <c r="G69" s="51"/>
      <c r="H69" s="51"/>
    </row>
    <row r="70" spans="2:8" ht="15.75" customHeight="1">
      <c r="B70" s="566"/>
      <c r="C70" s="567"/>
      <c r="D70" s="567"/>
      <c r="E70" s="567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51"/>
  <sheetViews>
    <sheetView showGridLines="0" zoomScale="72" zoomScaleNormal="72" zoomScalePageLayoutView="0" workbookViewId="0" topLeftCell="A1">
      <selection activeCell="B5" sqref="B5"/>
    </sheetView>
  </sheetViews>
  <sheetFormatPr defaultColWidth="11.4218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8" width="10.28125" style="9" hidden="1" customWidth="1"/>
    <col min="59" max="60" width="9.140625" style="9" hidden="1" customWidth="1"/>
    <col min="61" max="61" width="10.421875" style="9" bestFit="1" customWidth="1"/>
    <col min="62" max="65" width="10.28125" style="9" customWidth="1"/>
    <col min="66" max="70" width="10.28125" style="9" hidden="1" customWidth="1"/>
    <col min="71" max="72" width="9.140625" style="9" hidden="1" customWidth="1"/>
    <col min="73" max="73" width="10.421875" style="9" hidden="1" customWidth="1"/>
    <col min="74" max="16384" width="11.421875" style="9" customWidth="1"/>
  </cols>
  <sheetData>
    <row r="1" ht="12.75">
      <c r="B1" s="8"/>
    </row>
    <row r="2" spans="2:22" s="11" customFormat="1" ht="18">
      <c r="B2" s="586"/>
      <c r="C2" s="586"/>
      <c r="D2" s="586"/>
      <c r="E2" s="586"/>
      <c r="F2" s="586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6"/>
      <c r="C3" s="586"/>
      <c r="D3" s="586"/>
      <c r="E3" s="586"/>
      <c r="F3" s="586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4" customFormat="1" ht="18">
      <c r="B5" s="127" t="s">
        <v>11</v>
      </c>
      <c r="C5" s="127"/>
      <c r="D5" s="127"/>
      <c r="E5" s="127"/>
      <c r="F5" s="127"/>
      <c r="G5" s="11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s="11" customFormat="1" ht="18">
      <c r="B6" s="362" t="s">
        <v>112</v>
      </c>
      <c r="C6" s="362"/>
      <c r="D6" s="362"/>
      <c r="E6" s="362"/>
      <c r="F6" s="362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04" t="s">
        <v>162</v>
      </c>
      <c r="C7" s="255"/>
      <c r="D7" s="255"/>
      <c r="E7" s="255"/>
      <c r="F7" s="255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58" t="s">
        <v>152</v>
      </c>
      <c r="C8" s="131"/>
      <c r="D8" s="255"/>
      <c r="E8" s="255"/>
      <c r="F8" s="255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1" t="s">
        <v>264</v>
      </c>
      <c r="C9" s="131"/>
      <c r="D9" s="255"/>
      <c r="E9" s="255"/>
      <c r="F9" s="255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549" t="s">
        <v>111</v>
      </c>
      <c r="C10" s="260"/>
      <c r="D10" s="255"/>
      <c r="E10" s="255"/>
      <c r="F10" s="255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3"/>
      <c r="C11" s="243"/>
      <c r="D11" s="243"/>
      <c r="E11" s="243"/>
      <c r="F11" s="169"/>
      <c r="G11" s="22"/>
    </row>
    <row r="12" spans="2:74" s="27" customFormat="1" ht="18" customHeight="1">
      <c r="B12" s="609" t="s">
        <v>138</v>
      </c>
      <c r="C12" s="605">
        <v>2009</v>
      </c>
      <c r="D12" s="589">
        <v>2010</v>
      </c>
      <c r="E12" s="587">
        <v>2011</v>
      </c>
      <c r="F12" s="605">
        <v>2012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605">
        <v>2013</v>
      </c>
      <c r="S12" s="605">
        <v>2014</v>
      </c>
      <c r="T12" s="594">
        <v>2015</v>
      </c>
      <c r="U12" s="607">
        <v>2016</v>
      </c>
      <c r="V12" s="596">
        <v>2017</v>
      </c>
      <c r="W12" s="584">
        <v>2018</v>
      </c>
      <c r="X12" s="584">
        <v>2019</v>
      </c>
      <c r="Y12" s="584">
        <v>2020</v>
      </c>
      <c r="Z12" s="495">
        <v>2021</v>
      </c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574">
        <v>2021</v>
      </c>
      <c r="AL12" s="511">
        <v>2022</v>
      </c>
      <c r="AM12" s="512"/>
      <c r="AN12" s="512"/>
      <c r="AO12" s="512"/>
      <c r="AP12" s="512"/>
      <c r="AQ12" s="512"/>
      <c r="AR12" s="512"/>
      <c r="AS12" s="512"/>
      <c r="AT12" s="512"/>
      <c r="AU12" s="512"/>
      <c r="AV12" s="512"/>
      <c r="AW12" s="574">
        <v>2022</v>
      </c>
      <c r="AX12" s="511">
        <v>2023</v>
      </c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74">
        <v>2023</v>
      </c>
      <c r="BJ12" s="591">
        <v>2024</v>
      </c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3"/>
      <c r="BV12" s="469"/>
    </row>
    <row r="13" spans="2:74" s="27" customFormat="1" ht="18" customHeight="1">
      <c r="B13" s="610"/>
      <c r="C13" s="606"/>
      <c r="D13" s="590"/>
      <c r="E13" s="588"/>
      <c r="F13" s="606"/>
      <c r="G13" s="105" t="s">
        <v>96</v>
      </c>
      <c r="H13" s="105" t="s">
        <v>97</v>
      </c>
      <c r="I13" s="106" t="s">
        <v>102</v>
      </c>
      <c r="J13" s="106" t="s">
        <v>104</v>
      </c>
      <c r="K13" s="106" t="s">
        <v>108</v>
      </c>
      <c r="L13" s="106" t="s">
        <v>121</v>
      </c>
      <c r="M13" s="106" t="s">
        <v>139</v>
      </c>
      <c r="N13" s="106" t="s">
        <v>141</v>
      </c>
      <c r="O13" s="106" t="s">
        <v>143</v>
      </c>
      <c r="P13" s="106" t="s">
        <v>146</v>
      </c>
      <c r="Q13" s="106" t="s">
        <v>148</v>
      </c>
      <c r="R13" s="606"/>
      <c r="S13" s="606"/>
      <c r="T13" s="595"/>
      <c r="U13" s="608"/>
      <c r="V13" s="597"/>
      <c r="W13" s="585"/>
      <c r="X13" s="585"/>
      <c r="Y13" s="585"/>
      <c r="Z13" s="468" t="s">
        <v>96</v>
      </c>
      <c r="AA13" s="411" t="s">
        <v>97</v>
      </c>
      <c r="AB13" s="491" t="s">
        <v>102</v>
      </c>
      <c r="AC13" s="416" t="s">
        <v>104</v>
      </c>
      <c r="AD13" s="492" t="s">
        <v>227</v>
      </c>
      <c r="AE13" s="491" t="s">
        <v>121</v>
      </c>
      <c r="AF13" s="423" t="s">
        <v>139</v>
      </c>
      <c r="AG13" s="432" t="s">
        <v>141</v>
      </c>
      <c r="AH13" s="493" t="s">
        <v>235</v>
      </c>
      <c r="AI13" s="494" t="s">
        <v>146</v>
      </c>
      <c r="AJ13" s="423" t="s">
        <v>148</v>
      </c>
      <c r="AK13" s="575"/>
      <c r="AL13" s="468" t="s">
        <v>96</v>
      </c>
      <c r="AM13" s="411" t="s">
        <v>97</v>
      </c>
      <c r="AN13" s="415" t="s">
        <v>102</v>
      </c>
      <c r="AO13" s="416" t="s">
        <v>104</v>
      </c>
      <c r="AP13" s="421" t="s">
        <v>227</v>
      </c>
      <c r="AQ13" s="415" t="s">
        <v>121</v>
      </c>
      <c r="AR13" s="423" t="s">
        <v>139</v>
      </c>
      <c r="AS13" s="432" t="s">
        <v>141</v>
      </c>
      <c r="AT13" s="435" t="s">
        <v>235</v>
      </c>
      <c r="AU13" s="457" t="s">
        <v>146</v>
      </c>
      <c r="AV13" s="423" t="s">
        <v>148</v>
      </c>
      <c r="AW13" s="575"/>
      <c r="AX13" s="468" t="s">
        <v>96</v>
      </c>
      <c r="AY13" s="411" t="s">
        <v>97</v>
      </c>
      <c r="AZ13" s="415" t="s">
        <v>102</v>
      </c>
      <c r="BA13" s="416" t="s">
        <v>104</v>
      </c>
      <c r="BB13" s="421" t="s">
        <v>227</v>
      </c>
      <c r="BC13" s="415" t="s">
        <v>121</v>
      </c>
      <c r="BD13" s="423" t="s">
        <v>139</v>
      </c>
      <c r="BE13" s="432" t="s">
        <v>141</v>
      </c>
      <c r="BF13" s="435" t="s">
        <v>235</v>
      </c>
      <c r="BG13" s="457" t="s">
        <v>146</v>
      </c>
      <c r="BH13" s="423" t="s">
        <v>148</v>
      </c>
      <c r="BI13" s="575"/>
      <c r="BJ13" s="468" t="s">
        <v>96</v>
      </c>
      <c r="BK13" s="411" t="s">
        <v>97</v>
      </c>
      <c r="BL13" s="415" t="s">
        <v>102</v>
      </c>
      <c r="BM13" s="416" t="s">
        <v>104</v>
      </c>
      <c r="BN13" s="421" t="s">
        <v>227</v>
      </c>
      <c r="BO13" s="415" t="s">
        <v>121</v>
      </c>
      <c r="BP13" s="423" t="s">
        <v>139</v>
      </c>
      <c r="BQ13" s="432" t="s">
        <v>141</v>
      </c>
      <c r="BR13" s="435" t="s">
        <v>235</v>
      </c>
      <c r="BS13" s="457" t="s">
        <v>146</v>
      </c>
      <c r="BT13" s="423" t="s">
        <v>148</v>
      </c>
      <c r="BU13" s="456" t="s">
        <v>169</v>
      </c>
      <c r="BV13" s="469"/>
    </row>
    <row r="14" spans="2:74" s="27" customFormat="1" ht="4.5" customHeight="1">
      <c r="B14" s="172"/>
      <c r="C14" s="98"/>
      <c r="D14" s="173"/>
      <c r="E14" s="174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86"/>
      <c r="U14" s="389"/>
      <c r="V14" s="433"/>
      <c r="W14" s="458"/>
      <c r="X14" s="458"/>
      <c r="Y14" s="424"/>
      <c r="Z14" s="389"/>
      <c r="AA14" s="412"/>
      <c r="AB14" s="179"/>
      <c r="AC14" s="412"/>
      <c r="AD14" s="422"/>
      <c r="AE14" s="179"/>
      <c r="AF14" s="424"/>
      <c r="AG14" s="433"/>
      <c r="AH14" s="390"/>
      <c r="AI14" s="458"/>
      <c r="AJ14" s="424"/>
      <c r="AK14" s="424"/>
      <c r="AL14" s="389"/>
      <c r="AM14" s="412"/>
      <c r="AN14" s="179"/>
      <c r="AO14" s="412"/>
      <c r="AP14" s="422"/>
      <c r="AQ14" s="179"/>
      <c r="AR14" s="424"/>
      <c r="AS14" s="433"/>
      <c r="AT14" s="390"/>
      <c r="AU14" s="458"/>
      <c r="AV14" s="424"/>
      <c r="AW14" s="424"/>
      <c r="AX14" s="389"/>
      <c r="AY14" s="412"/>
      <c r="AZ14" s="179"/>
      <c r="BA14" s="412"/>
      <c r="BB14" s="422"/>
      <c r="BC14" s="179"/>
      <c r="BD14" s="424"/>
      <c r="BE14" s="433"/>
      <c r="BF14" s="390"/>
      <c r="BG14" s="458"/>
      <c r="BH14" s="424"/>
      <c r="BI14" s="424"/>
      <c r="BJ14" s="389"/>
      <c r="BK14" s="412"/>
      <c r="BL14" s="179"/>
      <c r="BM14" s="412"/>
      <c r="BN14" s="422"/>
      <c r="BO14" s="179"/>
      <c r="BP14" s="424"/>
      <c r="BQ14" s="433"/>
      <c r="BR14" s="390"/>
      <c r="BS14" s="458"/>
      <c r="BT14" s="424"/>
      <c r="BU14" s="424"/>
      <c r="BV14" s="469"/>
    </row>
    <row r="15" spans="2:75" s="25" customFormat="1" ht="21.75" customHeight="1">
      <c r="B15" s="175" t="s">
        <v>34</v>
      </c>
      <c r="C15" s="463">
        <v>1389</v>
      </c>
      <c r="D15" s="463">
        <v>2144</v>
      </c>
      <c r="E15" s="461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87">
        <v>2258.8960634599985</v>
      </c>
      <c r="U15" s="391">
        <v>2931.5247573100005</v>
      </c>
      <c r="V15" s="413">
        <v>2816.8010528699997</v>
      </c>
      <c r="W15" s="459">
        <v>2585.67327702</v>
      </c>
      <c r="X15" s="459">
        <v>2512.4269972</v>
      </c>
      <c r="Y15" s="425">
        <v>2847.266591940001</v>
      </c>
      <c r="Z15" s="391">
        <v>2669.7649879099995</v>
      </c>
      <c r="AA15" s="413">
        <v>2280.8565583599984</v>
      </c>
      <c r="AB15" s="33">
        <v>2080.1915407399993</v>
      </c>
      <c r="AC15" s="413">
        <v>2002.289934100001</v>
      </c>
      <c r="AD15" s="387">
        <v>2000.7607678600002</v>
      </c>
      <c r="AE15" s="387">
        <v>1909.2826383400002</v>
      </c>
      <c r="AF15" s="459">
        <v>1829.166610660001</v>
      </c>
      <c r="AG15" s="459">
        <v>1874.6325798299988</v>
      </c>
      <c r="AH15" s="425">
        <v>1899.0710651699999</v>
      </c>
      <c r="AI15" s="459">
        <v>1939.514755</v>
      </c>
      <c r="AJ15" s="425">
        <v>1986.8050023</v>
      </c>
      <c r="AK15" s="425">
        <v>2166.44417054</v>
      </c>
      <c r="AL15" s="391">
        <v>2152.2243202</v>
      </c>
      <c r="AM15" s="413">
        <v>2129.8946967700003</v>
      </c>
      <c r="AN15" s="33">
        <v>2047.14908125</v>
      </c>
      <c r="AO15" s="413">
        <v>1935.69506788</v>
      </c>
      <c r="AP15" s="387">
        <v>2030.1634751700003</v>
      </c>
      <c r="AQ15" s="387">
        <v>2015.78099483</v>
      </c>
      <c r="AR15" s="459">
        <v>1975.9157757899998</v>
      </c>
      <c r="AS15" s="459">
        <v>2031.3514093</v>
      </c>
      <c r="AT15" s="425">
        <v>2010.12565047</v>
      </c>
      <c r="AU15" s="459">
        <v>1984.13708058</v>
      </c>
      <c r="AV15" s="425">
        <v>2045.5234255300002</v>
      </c>
      <c r="AW15" s="425">
        <v>2107.9011715799998</v>
      </c>
      <c r="AX15" s="391">
        <v>1980.47300011</v>
      </c>
      <c r="AY15" s="413">
        <v>1989.9581064699992</v>
      </c>
      <c r="AZ15" s="33">
        <v>1861.0959683699998</v>
      </c>
      <c r="BA15" s="413">
        <v>1931.8507315999998</v>
      </c>
      <c r="BB15" s="387">
        <v>1914.63034101</v>
      </c>
      <c r="BC15" s="387">
        <v>1900.96108086</v>
      </c>
      <c r="BD15" s="459">
        <v>1828.24982821</v>
      </c>
      <c r="BE15" s="459">
        <v>1825.68097081</v>
      </c>
      <c r="BF15" s="425">
        <v>1819.54790019</v>
      </c>
      <c r="BG15" s="459">
        <v>1796.78723956</v>
      </c>
      <c r="BH15" s="425">
        <v>1967.4082110200002</v>
      </c>
      <c r="BI15" s="425">
        <v>2126.57320338</v>
      </c>
      <c r="BJ15" s="391">
        <v>1826.4103064399999</v>
      </c>
      <c r="BK15" s="413">
        <v>1914.59361202</v>
      </c>
      <c r="BL15" s="33">
        <v>1886.01393321</v>
      </c>
      <c r="BM15" s="413">
        <v>1939.4425583099992</v>
      </c>
      <c r="BN15" s="387">
        <v>0</v>
      </c>
      <c r="BO15" s="387">
        <v>0</v>
      </c>
      <c r="BP15" s="459">
        <v>0</v>
      </c>
      <c r="BQ15" s="459">
        <v>0</v>
      </c>
      <c r="BR15" s="425">
        <v>0</v>
      </c>
      <c r="BS15" s="459">
        <v>0</v>
      </c>
      <c r="BT15" s="425">
        <v>0</v>
      </c>
      <c r="BU15" s="425">
        <v>0</v>
      </c>
      <c r="BV15" s="487"/>
      <c r="BW15" s="443"/>
    </row>
    <row r="16" spans="2:75" s="25" customFormat="1" ht="21.75" customHeight="1">
      <c r="B16" s="175" t="s">
        <v>33</v>
      </c>
      <c r="C16" s="463">
        <v>256</v>
      </c>
      <c r="D16" s="463">
        <v>389</v>
      </c>
      <c r="E16" s="461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87">
        <v>4201.51382237</v>
      </c>
      <c r="U16" s="391">
        <v>4539.076503679999</v>
      </c>
      <c r="V16" s="413">
        <v>5985.46242653</v>
      </c>
      <c r="W16" s="459">
        <v>7233.929935290001</v>
      </c>
      <c r="X16" s="459">
        <v>6012.22120457</v>
      </c>
      <c r="Y16" s="425">
        <v>6614.97187366</v>
      </c>
      <c r="Z16" s="391">
        <v>6532.3018552</v>
      </c>
      <c r="AA16" s="413">
        <v>6254.41370703</v>
      </c>
      <c r="AB16" s="33">
        <v>6211.728456299999</v>
      </c>
      <c r="AC16" s="413">
        <v>6174.95095902</v>
      </c>
      <c r="AD16" s="387">
        <v>7204.2090273799995</v>
      </c>
      <c r="AE16" s="387">
        <v>7147.625556479999</v>
      </c>
      <c r="AF16" s="459">
        <v>7128.95570324</v>
      </c>
      <c r="AG16" s="459">
        <v>7137.063251669999</v>
      </c>
      <c r="AH16" s="425">
        <v>7162.63829835</v>
      </c>
      <c r="AI16" s="459">
        <v>7256.429646359999</v>
      </c>
      <c r="AJ16" s="425">
        <v>7243.23665188</v>
      </c>
      <c r="AK16" s="425">
        <v>7402.06335374</v>
      </c>
      <c r="AL16" s="391">
        <v>7364.97449206</v>
      </c>
      <c r="AM16" s="413">
        <v>7164.30753646</v>
      </c>
      <c r="AN16" s="33">
        <v>7154.238466520001</v>
      </c>
      <c r="AO16" s="413">
        <v>7309.09406754</v>
      </c>
      <c r="AP16" s="387">
        <v>7179.37547441</v>
      </c>
      <c r="AQ16" s="387">
        <v>7042.059833729999</v>
      </c>
      <c r="AR16" s="459">
        <v>7150.61353248</v>
      </c>
      <c r="AS16" s="459">
        <v>7170.286449939999</v>
      </c>
      <c r="AT16" s="425">
        <v>7142.417474749999</v>
      </c>
      <c r="AU16" s="459">
        <v>7456.628515699999</v>
      </c>
      <c r="AV16" s="425">
        <v>7473.773917119999</v>
      </c>
      <c r="AW16" s="425">
        <v>7665.39460745</v>
      </c>
      <c r="AX16" s="391">
        <v>7369.57041976</v>
      </c>
      <c r="AY16" s="413">
        <v>7222.3523399900005</v>
      </c>
      <c r="AZ16" s="33">
        <v>7411.5130261</v>
      </c>
      <c r="BA16" s="413">
        <v>7395.63876287</v>
      </c>
      <c r="BB16" s="387">
        <v>7333.8997172300005</v>
      </c>
      <c r="BC16" s="387">
        <v>7284.63194929</v>
      </c>
      <c r="BD16" s="459">
        <v>7377.4361053</v>
      </c>
      <c r="BE16" s="459">
        <v>7629.45213082</v>
      </c>
      <c r="BF16" s="425">
        <v>7708.95916064</v>
      </c>
      <c r="BG16" s="459">
        <v>7869.10436094</v>
      </c>
      <c r="BH16" s="425">
        <v>7883.29195953</v>
      </c>
      <c r="BI16" s="425">
        <v>8082.45510097</v>
      </c>
      <c r="BJ16" s="391">
        <v>7915.07475653</v>
      </c>
      <c r="BK16" s="413">
        <v>7503.9574995600005</v>
      </c>
      <c r="BL16" s="33">
        <v>7634.23402307</v>
      </c>
      <c r="BM16" s="413">
        <v>7605.83557022</v>
      </c>
      <c r="BN16" s="387">
        <v>0</v>
      </c>
      <c r="BO16" s="387">
        <v>0</v>
      </c>
      <c r="BP16" s="459">
        <v>0</v>
      </c>
      <c r="BQ16" s="459">
        <v>0</v>
      </c>
      <c r="BR16" s="425">
        <v>0</v>
      </c>
      <c r="BS16" s="459">
        <v>0</v>
      </c>
      <c r="BT16" s="425">
        <v>0</v>
      </c>
      <c r="BU16" s="425">
        <v>0</v>
      </c>
      <c r="BV16" s="488"/>
      <c r="BW16" s="443"/>
    </row>
    <row r="17" spans="2:74" s="25" customFormat="1" ht="6" customHeight="1">
      <c r="B17" s="176"/>
      <c r="C17" s="464"/>
      <c r="D17" s="464"/>
      <c r="E17" s="462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8"/>
      <c r="U17" s="392"/>
      <c r="V17" s="434"/>
      <c r="W17" s="460"/>
      <c r="X17" s="460"/>
      <c r="Y17" s="426"/>
      <c r="Z17" s="392"/>
      <c r="AA17" s="414"/>
      <c r="AB17" s="35"/>
      <c r="AC17" s="414"/>
      <c r="AD17" s="388"/>
      <c r="AE17" s="388"/>
      <c r="AF17" s="460"/>
      <c r="AG17" s="460"/>
      <c r="AH17" s="426"/>
      <c r="AI17" s="460"/>
      <c r="AJ17" s="426"/>
      <c r="AK17" s="426"/>
      <c r="AL17" s="392"/>
      <c r="AM17" s="414"/>
      <c r="AN17" s="35"/>
      <c r="AO17" s="414"/>
      <c r="AP17" s="388"/>
      <c r="AQ17" s="388"/>
      <c r="AR17" s="460"/>
      <c r="AS17" s="460"/>
      <c r="AT17" s="426"/>
      <c r="AU17" s="460"/>
      <c r="AV17" s="426"/>
      <c r="AW17" s="426"/>
      <c r="AX17" s="392"/>
      <c r="AY17" s="414"/>
      <c r="AZ17" s="35"/>
      <c r="BA17" s="414"/>
      <c r="BB17" s="388"/>
      <c r="BC17" s="388"/>
      <c r="BD17" s="460"/>
      <c r="BE17" s="460"/>
      <c r="BF17" s="426"/>
      <c r="BG17" s="460"/>
      <c r="BH17" s="426"/>
      <c r="BI17" s="426"/>
      <c r="BJ17" s="392"/>
      <c r="BK17" s="414"/>
      <c r="BL17" s="35"/>
      <c r="BM17" s="414"/>
      <c r="BN17" s="388"/>
      <c r="BO17" s="388"/>
      <c r="BP17" s="460"/>
      <c r="BQ17" s="460"/>
      <c r="BR17" s="426"/>
      <c r="BS17" s="460"/>
      <c r="BT17" s="426"/>
      <c r="BU17" s="426"/>
      <c r="BV17" s="470"/>
    </row>
    <row r="18" spans="2:74" s="27" customFormat="1" ht="15" customHeight="1">
      <c r="B18" s="601" t="s">
        <v>98</v>
      </c>
      <c r="C18" s="603">
        <f aca="true" t="shared" si="0" ref="C18:H18">SUM(C15:C16)</f>
        <v>1645</v>
      </c>
      <c r="D18" s="603">
        <f t="shared" si="0"/>
        <v>2533</v>
      </c>
      <c r="E18" s="576">
        <f t="shared" si="0"/>
        <v>2778</v>
      </c>
      <c r="F18" s="603">
        <f t="shared" si="0"/>
        <v>3231.62940566</v>
      </c>
      <c r="G18" s="598">
        <f t="shared" si="0"/>
        <v>3978.2822575499995</v>
      </c>
      <c r="H18" s="598">
        <f t="shared" si="0"/>
        <v>4283.16118678</v>
      </c>
      <c r="I18" s="582">
        <f aca="true" t="shared" si="1" ref="I18:N18">SUM(I15:I16)</f>
        <v>4271.37034379</v>
      </c>
      <c r="J18" s="582">
        <f t="shared" si="1"/>
        <v>3622.58121752</v>
      </c>
      <c r="K18" s="582">
        <f t="shared" si="1"/>
        <v>3177.2183911999996</v>
      </c>
      <c r="L18" s="582">
        <f t="shared" si="1"/>
        <v>3224.1298934800006</v>
      </c>
      <c r="M18" s="582">
        <f t="shared" si="1"/>
        <v>3273.10540427</v>
      </c>
      <c r="N18" s="582">
        <f t="shared" si="1"/>
        <v>3382.31552197</v>
      </c>
      <c r="O18" s="582">
        <f>+O15+O16</f>
        <v>3510.4566990000008</v>
      </c>
      <c r="P18" s="582">
        <f>+P15+P16</f>
        <v>3663.6902058299997</v>
      </c>
      <c r="Q18" s="582">
        <f>+Q15+Q16</f>
        <v>3934.70126796</v>
      </c>
      <c r="R18" s="582">
        <f>+R15+R16</f>
        <v>4098.53643417</v>
      </c>
      <c r="S18" s="582">
        <f>+S15+S16</f>
        <v>5844.665124709998</v>
      </c>
      <c r="T18" s="580">
        <f aca="true" t="shared" si="2" ref="T18:Y18">+T16+T15</f>
        <v>6460.4098858299985</v>
      </c>
      <c r="U18" s="578">
        <f t="shared" si="2"/>
        <v>7470.60126099</v>
      </c>
      <c r="V18" s="580">
        <f t="shared" si="2"/>
        <v>8802.2634794</v>
      </c>
      <c r="W18" s="570">
        <f t="shared" si="2"/>
        <v>9819.603212310001</v>
      </c>
      <c r="X18" s="570">
        <f t="shared" si="2"/>
        <v>8524.64820177</v>
      </c>
      <c r="Y18" s="572">
        <f t="shared" si="2"/>
        <v>9462.238465600001</v>
      </c>
      <c r="Z18" s="570">
        <f aca="true" t="shared" si="3" ref="Z18:AJ18">+Z16+Z15</f>
        <v>9202.06684311</v>
      </c>
      <c r="AA18" s="576">
        <f t="shared" si="3"/>
        <v>8535.270265389998</v>
      </c>
      <c r="AB18" s="578">
        <f t="shared" si="3"/>
        <v>8291.919997039999</v>
      </c>
      <c r="AC18" s="576">
        <f t="shared" si="3"/>
        <v>8177.240893120001</v>
      </c>
      <c r="AD18" s="580">
        <f t="shared" si="3"/>
        <v>9204.96979524</v>
      </c>
      <c r="AE18" s="578">
        <f t="shared" si="3"/>
        <v>9056.90819482</v>
      </c>
      <c r="AF18" s="572">
        <f t="shared" si="3"/>
        <v>8958.122313900001</v>
      </c>
      <c r="AG18" s="580">
        <f t="shared" si="3"/>
        <v>9011.695831499997</v>
      </c>
      <c r="AH18" s="582">
        <f t="shared" si="3"/>
        <v>9061.70936352</v>
      </c>
      <c r="AI18" s="570">
        <f t="shared" si="3"/>
        <v>9195.944401359999</v>
      </c>
      <c r="AJ18" s="572">
        <f t="shared" si="3"/>
        <v>9230.04165418</v>
      </c>
      <c r="AK18" s="572">
        <f>+AK16+AK15</f>
        <v>9568.50752428</v>
      </c>
      <c r="AL18" s="570">
        <f aca="true" t="shared" si="4" ref="AL18:AV18">+AL16+AL15</f>
        <v>9517.19881226</v>
      </c>
      <c r="AM18" s="576">
        <f t="shared" si="4"/>
        <v>9294.20223323</v>
      </c>
      <c r="AN18" s="578">
        <f t="shared" si="4"/>
        <v>9201.38754777</v>
      </c>
      <c r="AO18" s="576">
        <f t="shared" si="4"/>
        <v>9244.78913542</v>
      </c>
      <c r="AP18" s="580">
        <f t="shared" si="4"/>
        <v>9209.538949580001</v>
      </c>
      <c r="AQ18" s="578">
        <f t="shared" si="4"/>
        <v>9057.840828559998</v>
      </c>
      <c r="AR18" s="572">
        <f t="shared" si="4"/>
        <v>9126.52930827</v>
      </c>
      <c r="AS18" s="580">
        <f t="shared" si="4"/>
        <v>9201.63785924</v>
      </c>
      <c r="AT18" s="582">
        <f t="shared" si="4"/>
        <v>9152.54312522</v>
      </c>
      <c r="AU18" s="570">
        <f t="shared" si="4"/>
        <v>9440.76559628</v>
      </c>
      <c r="AV18" s="572">
        <f t="shared" si="4"/>
        <v>9519.29734265</v>
      </c>
      <c r="AW18" s="572">
        <f>+AW16+AW15</f>
        <v>9773.295779029999</v>
      </c>
      <c r="AX18" s="570">
        <f aca="true" t="shared" si="5" ref="AX18:BH18">+AX16+AX15</f>
        <v>9350.04341987</v>
      </c>
      <c r="AY18" s="576">
        <f t="shared" si="5"/>
        <v>9212.31044646</v>
      </c>
      <c r="AZ18" s="578">
        <f t="shared" si="5"/>
        <v>9272.60899447</v>
      </c>
      <c r="BA18" s="576">
        <f t="shared" si="5"/>
        <v>9327.48949447</v>
      </c>
      <c r="BB18" s="580">
        <f t="shared" si="5"/>
        <v>9248.530058240001</v>
      </c>
      <c r="BC18" s="578">
        <f t="shared" si="5"/>
        <v>9185.593030150001</v>
      </c>
      <c r="BD18" s="572">
        <f t="shared" si="5"/>
        <v>9205.68593351</v>
      </c>
      <c r="BE18" s="580">
        <f t="shared" si="5"/>
        <v>9455.13310163</v>
      </c>
      <c r="BF18" s="582">
        <f t="shared" si="5"/>
        <v>9528.50706083</v>
      </c>
      <c r="BG18" s="570">
        <f t="shared" si="5"/>
        <v>9665.891600500001</v>
      </c>
      <c r="BH18" s="572">
        <f t="shared" si="5"/>
        <v>9850.70017055</v>
      </c>
      <c r="BI18" s="572">
        <f aca="true" t="shared" si="6" ref="BI18:BN18">+BI16+BI15</f>
        <v>10209.02830435</v>
      </c>
      <c r="BJ18" s="570">
        <f t="shared" si="6"/>
        <v>9741.48506297</v>
      </c>
      <c r="BK18" s="576">
        <f t="shared" si="6"/>
        <v>9418.55111158</v>
      </c>
      <c r="BL18" s="578">
        <f t="shared" si="6"/>
        <v>9520.24795628</v>
      </c>
      <c r="BM18" s="576">
        <f t="shared" si="6"/>
        <v>9545.278128529999</v>
      </c>
      <c r="BN18" s="580">
        <f t="shared" si="6"/>
        <v>0</v>
      </c>
      <c r="BO18" s="578">
        <f aca="true" t="shared" si="7" ref="BO18:BT18">+BO16+BO15</f>
        <v>0</v>
      </c>
      <c r="BP18" s="572">
        <f t="shared" si="7"/>
        <v>0</v>
      </c>
      <c r="BQ18" s="580">
        <f t="shared" si="7"/>
        <v>0</v>
      </c>
      <c r="BR18" s="582">
        <f t="shared" si="7"/>
        <v>0</v>
      </c>
      <c r="BS18" s="570">
        <f t="shared" si="7"/>
        <v>0</v>
      </c>
      <c r="BT18" s="572">
        <f t="shared" si="7"/>
        <v>0</v>
      </c>
      <c r="BU18" s="572">
        <f>+BU16+BU15</f>
        <v>0</v>
      </c>
      <c r="BV18" s="469"/>
    </row>
    <row r="19" spans="2:75" s="27" customFormat="1" ht="15" customHeight="1">
      <c r="B19" s="602"/>
      <c r="C19" s="604"/>
      <c r="D19" s="604"/>
      <c r="E19" s="577"/>
      <c r="F19" s="604"/>
      <c r="G19" s="599"/>
      <c r="H19" s="599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1"/>
      <c r="U19" s="579"/>
      <c r="V19" s="581"/>
      <c r="W19" s="571"/>
      <c r="X19" s="571"/>
      <c r="Y19" s="573"/>
      <c r="Z19" s="571"/>
      <c r="AA19" s="577"/>
      <c r="AB19" s="579"/>
      <c r="AC19" s="577"/>
      <c r="AD19" s="581"/>
      <c r="AE19" s="579"/>
      <c r="AF19" s="573"/>
      <c r="AG19" s="581"/>
      <c r="AH19" s="583"/>
      <c r="AI19" s="571"/>
      <c r="AJ19" s="573"/>
      <c r="AK19" s="573"/>
      <c r="AL19" s="571"/>
      <c r="AM19" s="577"/>
      <c r="AN19" s="579"/>
      <c r="AO19" s="577"/>
      <c r="AP19" s="581"/>
      <c r="AQ19" s="579"/>
      <c r="AR19" s="573"/>
      <c r="AS19" s="581"/>
      <c r="AT19" s="583"/>
      <c r="AU19" s="571"/>
      <c r="AV19" s="573"/>
      <c r="AW19" s="573"/>
      <c r="AX19" s="571"/>
      <c r="AY19" s="577"/>
      <c r="AZ19" s="579"/>
      <c r="BA19" s="577"/>
      <c r="BB19" s="581"/>
      <c r="BC19" s="579"/>
      <c r="BD19" s="573"/>
      <c r="BE19" s="581"/>
      <c r="BF19" s="583"/>
      <c r="BG19" s="571"/>
      <c r="BH19" s="573"/>
      <c r="BI19" s="573"/>
      <c r="BJ19" s="571"/>
      <c r="BK19" s="577"/>
      <c r="BL19" s="579"/>
      <c r="BM19" s="577"/>
      <c r="BN19" s="581"/>
      <c r="BO19" s="579"/>
      <c r="BP19" s="573"/>
      <c r="BQ19" s="581"/>
      <c r="BR19" s="583"/>
      <c r="BS19" s="571"/>
      <c r="BT19" s="573"/>
      <c r="BU19" s="573"/>
      <c r="BV19" s="469"/>
      <c r="BW19" s="443"/>
    </row>
    <row r="20" spans="2:7" ht="7.5" customHeight="1">
      <c r="B20" s="36"/>
      <c r="C20" s="37"/>
      <c r="D20" s="37"/>
      <c r="E20" s="37"/>
      <c r="F20" s="37"/>
      <c r="G20" s="37"/>
    </row>
    <row r="21" spans="2:66" ht="7.5" customHeight="1">
      <c r="B21" s="36"/>
      <c r="C21" s="37"/>
      <c r="D21" s="37"/>
      <c r="E21" s="37"/>
      <c r="F21" s="37"/>
      <c r="G21" s="37"/>
      <c r="T21" s="177"/>
      <c r="U21" s="177"/>
      <c r="V21" s="177"/>
      <c r="AP21" s="498"/>
      <c r="BB21" s="498"/>
      <c r="BN21" s="498"/>
    </row>
    <row r="22" spans="2:73" s="25" customFormat="1" ht="28.5" customHeight="1">
      <c r="B22" s="600"/>
      <c r="C22" s="600"/>
      <c r="D22" s="600"/>
      <c r="E22" s="600"/>
      <c r="F22" s="600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78"/>
      <c r="U22" s="178"/>
      <c r="V22" s="178"/>
      <c r="W22" s="199"/>
      <c r="X22" s="199"/>
      <c r="Y22" s="199"/>
      <c r="Z22" s="185"/>
      <c r="AA22" s="185"/>
      <c r="AB22" s="185"/>
      <c r="AC22" s="199"/>
      <c r="AD22" s="478"/>
      <c r="AE22" s="199"/>
      <c r="AF22" s="199"/>
      <c r="AG22" s="199"/>
      <c r="AH22" s="199"/>
      <c r="AI22" s="199"/>
      <c r="AJ22" s="199"/>
      <c r="AK22" s="199"/>
      <c r="AL22" s="185"/>
      <c r="AM22" s="185"/>
      <c r="AN22" s="185"/>
      <c r="AO22" s="199"/>
      <c r="AP22" s="478"/>
      <c r="AQ22" s="199"/>
      <c r="AR22" s="505"/>
      <c r="AS22" s="199"/>
      <c r="AT22" s="199"/>
      <c r="AU22" s="199"/>
      <c r="AV22" s="199"/>
      <c r="AW22" s="199"/>
      <c r="AX22" s="185"/>
      <c r="AY22" s="185"/>
      <c r="AZ22" s="185"/>
      <c r="BA22" s="199"/>
      <c r="BB22" s="478"/>
      <c r="BC22" s="199"/>
      <c r="BD22" s="505"/>
      <c r="BE22" s="199"/>
      <c r="BF22" s="199"/>
      <c r="BG22" s="199"/>
      <c r="BH22" s="199"/>
      <c r="BI22" s="199"/>
      <c r="BJ22" s="185"/>
      <c r="BK22" s="185"/>
      <c r="BL22" s="185"/>
      <c r="BM22" s="199"/>
      <c r="BN22" s="478"/>
      <c r="BO22" s="199"/>
      <c r="BP22" s="505"/>
      <c r="BQ22" s="199"/>
      <c r="BR22" s="199"/>
      <c r="BS22" s="199"/>
      <c r="BT22" s="199"/>
      <c r="BU22" s="199"/>
    </row>
    <row r="23" spans="2:73" s="25" customFormat="1" ht="28.5" customHeight="1">
      <c r="B23" s="600"/>
      <c r="C23" s="600"/>
      <c r="D23" s="600"/>
      <c r="E23" s="600"/>
      <c r="F23" s="600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76"/>
      <c r="AD23" s="478"/>
      <c r="AF23" s="199"/>
      <c r="AG23" s="478"/>
      <c r="AK23" s="476"/>
      <c r="AN23" s="476"/>
      <c r="AP23" s="478"/>
      <c r="AR23" s="199"/>
      <c r="AS23" s="506"/>
      <c r="AV23" s="478"/>
      <c r="AW23" s="476"/>
      <c r="AZ23" s="476"/>
      <c r="BB23" s="478"/>
      <c r="BD23" s="199"/>
      <c r="BE23" s="506"/>
      <c r="BH23" s="478"/>
      <c r="BI23" s="476"/>
      <c r="BL23" s="476"/>
      <c r="BN23" s="478"/>
      <c r="BP23" s="199"/>
      <c r="BQ23" s="506"/>
      <c r="BT23" s="478"/>
      <c r="BU23" s="476"/>
    </row>
    <row r="24" spans="2:7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199"/>
      <c r="AR24" s="199"/>
      <c r="BD24" s="199"/>
      <c r="BH24" s="525"/>
      <c r="BP24" s="199"/>
      <c r="BT24" s="525"/>
    </row>
    <row r="25" spans="3:22" ht="12.75">
      <c r="C25" s="40"/>
      <c r="D25" s="41"/>
      <c r="E25" s="41"/>
      <c r="F25" s="41"/>
      <c r="G25" s="41"/>
      <c r="T25" s="157"/>
      <c r="U25" s="157"/>
      <c r="V25" s="157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93">
    <mergeCell ref="W12:W13"/>
    <mergeCell ref="W18:W19"/>
    <mergeCell ref="B12:B13"/>
    <mergeCell ref="C12:C13"/>
    <mergeCell ref="F12:F13"/>
    <mergeCell ref="R12:R13"/>
    <mergeCell ref="BU18:BU19"/>
    <mergeCell ref="J18:J19"/>
    <mergeCell ref="S18:S19"/>
    <mergeCell ref="N18:N19"/>
    <mergeCell ref="S12:S13"/>
    <mergeCell ref="K18:K19"/>
    <mergeCell ref="BK18:BK19"/>
    <mergeCell ref="U12:U13"/>
    <mergeCell ref="M18:M19"/>
    <mergeCell ref="BQ18:BQ19"/>
    <mergeCell ref="B23:F23"/>
    <mergeCell ref="B18:B19"/>
    <mergeCell ref="C18:C19"/>
    <mergeCell ref="D18:D19"/>
    <mergeCell ref="E18:E19"/>
    <mergeCell ref="G18:G19"/>
    <mergeCell ref="B22:F22"/>
    <mergeCell ref="F18:F19"/>
    <mergeCell ref="BL18:BL19"/>
    <mergeCell ref="BT18:BT19"/>
    <mergeCell ref="BS18:BS19"/>
    <mergeCell ref="H18:H19"/>
    <mergeCell ref="I18:I19"/>
    <mergeCell ref="Q18:Q19"/>
    <mergeCell ref="R18:R19"/>
    <mergeCell ref="BM18:BM19"/>
    <mergeCell ref="T18:T19"/>
    <mergeCell ref="BR18:BR19"/>
    <mergeCell ref="BP18:BP19"/>
    <mergeCell ref="BJ12:BU12"/>
    <mergeCell ref="BN18:BN19"/>
    <mergeCell ref="BJ18:BJ19"/>
    <mergeCell ref="T12:T13"/>
    <mergeCell ref="BO18:BO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Z18:Z19"/>
    <mergeCell ref="AA18:AA19"/>
    <mergeCell ref="AB18:AB19"/>
    <mergeCell ref="AC18:AC19"/>
    <mergeCell ref="AD18:AD19"/>
    <mergeCell ref="AE18:AE19"/>
    <mergeCell ref="AK12:AK13"/>
    <mergeCell ref="AF18:AF19"/>
    <mergeCell ref="AG18:AG19"/>
    <mergeCell ref="AH18:AH19"/>
    <mergeCell ref="AI18:AI19"/>
    <mergeCell ref="AJ18:AJ19"/>
    <mergeCell ref="AK18:AK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BD18:BD19"/>
    <mergeCell ref="BE18:BE19"/>
    <mergeCell ref="BF18:BF19"/>
    <mergeCell ref="AU18:AU19"/>
    <mergeCell ref="AV18:AV19"/>
    <mergeCell ref="AW18:AW19"/>
    <mergeCell ref="BG18:BG19"/>
    <mergeCell ref="BH18:BH19"/>
    <mergeCell ref="BI18:BI19"/>
    <mergeCell ref="BI12:BI13"/>
    <mergeCell ref="AX18:AX19"/>
    <mergeCell ref="AY18:AY19"/>
    <mergeCell ref="AZ18:AZ19"/>
    <mergeCell ref="BA18:BA19"/>
    <mergeCell ref="BB18:BB19"/>
    <mergeCell ref="BC18:BC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5" customWidth="1"/>
    <col min="4" max="4" width="19.7109375" style="2" customWidth="1"/>
    <col min="5" max="5" width="11.421875" style="168" customWidth="1"/>
    <col min="6" max="6" width="17.28125" style="168" customWidth="1"/>
    <col min="7" max="7" width="20.00390625" style="168" customWidth="1"/>
    <col min="8" max="8" width="19.140625" style="168" bestFit="1" customWidth="1"/>
    <col min="9" max="9" width="13.00390625" style="168" bestFit="1" customWidth="1"/>
    <col min="10" max="10" width="11.421875" style="168" customWidth="1"/>
    <col min="11" max="12" width="11.421875" style="2" customWidth="1"/>
    <col min="13" max="14" width="11.421875" style="186" customWidth="1"/>
    <col min="15" max="16384" width="11.421875" style="2" customWidth="1"/>
  </cols>
  <sheetData>
    <row r="1" spans="2:6" ht="12.75">
      <c r="B1" s="20"/>
      <c r="F1" s="344"/>
    </row>
    <row r="2" spans="2:14" s="1" customFormat="1" ht="13.5" customHeight="1">
      <c r="B2" s="586"/>
      <c r="C2" s="586"/>
      <c r="D2" s="586"/>
      <c r="E2" s="168"/>
      <c r="F2" s="344"/>
      <c r="G2" s="168"/>
      <c r="H2" s="168"/>
      <c r="I2" s="168"/>
      <c r="J2" s="168"/>
      <c r="M2" s="221"/>
      <c r="N2" s="221"/>
    </row>
    <row r="3" spans="2:14" s="1" customFormat="1" ht="13.5" customHeight="1">
      <c r="B3" s="586"/>
      <c r="C3" s="586"/>
      <c r="D3" s="586"/>
      <c r="E3" s="168"/>
      <c r="F3" s="344"/>
      <c r="G3" s="168"/>
      <c r="H3" s="168"/>
      <c r="I3" s="168"/>
      <c r="J3" s="168"/>
      <c r="M3" s="221"/>
      <c r="N3" s="221"/>
    </row>
    <row r="4" spans="2:14" s="1" customFormat="1" ht="18">
      <c r="B4" s="586"/>
      <c r="C4" s="586"/>
      <c r="D4" s="586"/>
      <c r="E4" s="168"/>
      <c r="F4" s="344"/>
      <c r="G4" s="168"/>
      <c r="H4" s="168"/>
      <c r="I4" s="168"/>
      <c r="J4" s="168"/>
      <c r="M4" s="221"/>
      <c r="N4" s="221"/>
    </row>
    <row r="5" spans="2:14" s="13" customFormat="1" ht="18">
      <c r="B5" s="127" t="s">
        <v>12</v>
      </c>
      <c r="C5" s="127"/>
      <c r="D5" s="127"/>
      <c r="E5" s="168"/>
      <c r="F5" s="344"/>
      <c r="H5" s="168"/>
      <c r="I5" s="270"/>
      <c r="J5" s="168"/>
      <c r="M5" s="222"/>
      <c r="N5" s="222"/>
    </row>
    <row r="6" spans="2:7" ht="18">
      <c r="B6" s="309" t="s">
        <v>133</v>
      </c>
      <c r="C6" s="309"/>
      <c r="D6" s="309"/>
      <c r="F6" s="344"/>
      <c r="G6" s="269"/>
    </row>
    <row r="7" spans="2:7" ht="18">
      <c r="B7" s="309" t="s">
        <v>132</v>
      </c>
      <c r="C7" s="309"/>
      <c r="D7" s="309"/>
      <c r="F7" s="344"/>
      <c r="G7" s="271"/>
    </row>
    <row r="8" spans="2:6" ht="15.75">
      <c r="B8" s="181" t="s">
        <v>150</v>
      </c>
      <c r="C8" s="181"/>
      <c r="D8" s="181"/>
      <c r="F8" s="344"/>
    </row>
    <row r="9" spans="2:14" s="3" customFormat="1" ht="15.75">
      <c r="B9" s="131" t="s">
        <v>260</v>
      </c>
      <c r="C9" s="260"/>
      <c r="D9" s="134"/>
      <c r="E9" s="308">
        <f>+Portada!H39</f>
        <v>3.752</v>
      </c>
      <c r="F9" s="138"/>
      <c r="G9" s="272"/>
      <c r="H9" s="273"/>
      <c r="I9" s="200"/>
      <c r="J9" s="200"/>
      <c r="M9" s="224"/>
      <c r="N9" s="224"/>
    </row>
    <row r="10" spans="2:6" ht="9.75" customHeight="1">
      <c r="B10" s="181"/>
      <c r="C10" s="181"/>
      <c r="D10" s="181"/>
      <c r="F10" s="344"/>
    </row>
    <row r="11" spans="2:12" ht="18.75" customHeight="1">
      <c r="B11" s="615" t="s">
        <v>153</v>
      </c>
      <c r="C11" s="617" t="s">
        <v>85</v>
      </c>
      <c r="D11" s="617" t="s">
        <v>161</v>
      </c>
      <c r="E11" s="310"/>
      <c r="F11" s="318"/>
      <c r="G11" s="310"/>
      <c r="H11" s="310"/>
      <c r="I11" s="310"/>
      <c r="J11" s="310"/>
      <c r="K11" s="311"/>
      <c r="L11" s="311"/>
    </row>
    <row r="12" spans="2:12" ht="18.75" customHeight="1">
      <c r="B12" s="616"/>
      <c r="C12" s="618"/>
      <c r="D12" s="618"/>
      <c r="E12" s="310"/>
      <c r="F12" s="318"/>
      <c r="G12" s="310"/>
      <c r="H12" s="310"/>
      <c r="I12" s="310"/>
      <c r="J12" s="310"/>
      <c r="K12" s="311"/>
      <c r="L12" s="311"/>
    </row>
    <row r="13" spans="2:14" s="16" customFormat="1" ht="9.75" customHeight="1">
      <c r="B13" s="247"/>
      <c r="C13" s="170"/>
      <c r="D13" s="171"/>
      <c r="E13" s="310"/>
      <c r="F13" s="345"/>
      <c r="G13" s="312"/>
      <c r="H13" s="312"/>
      <c r="I13" s="312"/>
      <c r="J13" s="310"/>
      <c r="K13" s="312"/>
      <c r="L13" s="312"/>
      <c r="M13" s="225"/>
      <c r="N13" s="225"/>
    </row>
    <row r="14" spans="2:14" s="13" customFormat="1" ht="19.5" customHeight="1">
      <c r="B14" s="67" t="s">
        <v>19</v>
      </c>
      <c r="C14" s="447">
        <f>SUM(C15:C16)</f>
        <v>1452482.9412399991</v>
      </c>
      <c r="D14" s="445">
        <f>SUM(D15:D16)</f>
        <v>5449715.99553</v>
      </c>
      <c r="E14" s="310"/>
      <c r="F14" s="471"/>
      <c r="G14" s="313"/>
      <c r="H14" s="313"/>
      <c r="I14" s="313"/>
      <c r="J14" s="310"/>
      <c r="K14" s="310"/>
      <c r="L14" s="310"/>
      <c r="M14" s="220"/>
      <c r="N14" s="220"/>
    </row>
    <row r="15" spans="2:14" s="13" customFormat="1" ht="16.5" customHeight="1">
      <c r="B15" s="68" t="s">
        <v>24</v>
      </c>
      <c r="C15" s="446">
        <v>531906.64277</v>
      </c>
      <c r="D15" s="446">
        <f>ROUND(+C15*$E$9,5)</f>
        <v>1995713.72367</v>
      </c>
      <c r="E15" s="314"/>
      <c r="F15" s="442"/>
      <c r="G15" s="313"/>
      <c r="H15" s="313"/>
      <c r="I15" s="313"/>
      <c r="J15" s="310"/>
      <c r="K15" s="314"/>
      <c r="L15" s="315"/>
      <c r="M15" s="227"/>
      <c r="N15" s="220"/>
    </row>
    <row r="16" spans="2:14" s="13" customFormat="1" ht="16.5" customHeight="1">
      <c r="B16" s="68" t="s">
        <v>25</v>
      </c>
      <c r="C16" s="446">
        <v>920576.298469999</v>
      </c>
      <c r="D16" s="446">
        <f>ROUND(+C16*$E$9,5)</f>
        <v>3454002.27186</v>
      </c>
      <c r="E16" s="314"/>
      <c r="F16" s="442"/>
      <c r="G16" s="313"/>
      <c r="H16" s="313"/>
      <c r="I16" s="313"/>
      <c r="J16" s="310"/>
      <c r="K16" s="314"/>
      <c r="L16" s="315"/>
      <c r="M16" s="227"/>
      <c r="N16" s="220"/>
    </row>
    <row r="17" spans="2:14" s="13" customFormat="1" ht="15" customHeight="1">
      <c r="B17" s="15"/>
      <c r="C17" s="448"/>
      <c r="D17" s="446"/>
      <c r="E17" s="310"/>
      <c r="F17" s="417"/>
      <c r="G17" s="313"/>
      <c r="H17" s="313"/>
      <c r="I17" s="313"/>
      <c r="J17" s="310"/>
      <c r="K17" s="314"/>
      <c r="L17" s="315"/>
      <c r="M17" s="227"/>
      <c r="N17" s="220"/>
    </row>
    <row r="18" spans="2:14" s="13" customFormat="1" ht="19.5" customHeight="1">
      <c r="B18" s="18" t="s">
        <v>20</v>
      </c>
      <c r="C18" s="447">
        <f>SUM(C19:C20)</f>
        <v>7097633.82469</v>
      </c>
      <c r="D18" s="445">
        <f>SUM(D19:D20)</f>
        <v>26630322.11023</v>
      </c>
      <c r="E18" s="310"/>
      <c r="F18" s="471"/>
      <c r="G18" s="313"/>
      <c r="H18" s="313"/>
      <c r="I18" s="313"/>
      <c r="J18" s="310"/>
      <c r="K18" s="310"/>
      <c r="L18" s="314"/>
      <c r="M18" s="220"/>
      <c r="N18" s="220"/>
    </row>
    <row r="19" spans="2:14" s="13" customFormat="1" ht="16.5" customHeight="1">
      <c r="B19" s="15" t="s">
        <v>109</v>
      </c>
      <c r="C19" s="446">
        <v>4011111.11108</v>
      </c>
      <c r="D19" s="446">
        <f>ROUND(+C19*$E$9,5)</f>
        <v>15049688.88877</v>
      </c>
      <c r="E19" s="310"/>
      <c r="F19" s="347"/>
      <c r="G19" s="313"/>
      <c r="H19" s="313"/>
      <c r="I19" s="313"/>
      <c r="J19" s="310"/>
      <c r="K19" s="314"/>
      <c r="L19" s="315"/>
      <c r="M19" s="227"/>
      <c r="N19" s="220"/>
    </row>
    <row r="20" spans="2:14" s="13" customFormat="1" ht="16.5" customHeight="1">
      <c r="B20" s="15" t="s">
        <v>25</v>
      </c>
      <c r="C20" s="446">
        <v>3086522.71361</v>
      </c>
      <c r="D20" s="446">
        <f>ROUND(+C20*$E$9,5)</f>
        <v>11580633.22146</v>
      </c>
      <c r="E20" s="310"/>
      <c r="F20" s="347"/>
      <c r="G20" s="313"/>
      <c r="H20" s="313"/>
      <c r="I20" s="313"/>
      <c r="J20" s="310"/>
      <c r="K20" s="314"/>
      <c r="L20" s="315"/>
      <c r="M20" s="227"/>
      <c r="N20" s="220"/>
    </row>
    <row r="21" spans="2:14" s="13" customFormat="1" ht="9.75" customHeight="1">
      <c r="B21" s="15"/>
      <c r="C21" s="448"/>
      <c r="D21" s="547"/>
      <c r="E21" s="310"/>
      <c r="F21" s="349"/>
      <c r="G21" s="313"/>
      <c r="H21" s="313"/>
      <c r="I21" s="313"/>
      <c r="J21" s="310"/>
      <c r="K21" s="314"/>
      <c r="L21" s="314"/>
      <c r="M21" s="220"/>
      <c r="N21" s="220"/>
    </row>
    <row r="22" spans="2:14" s="13" customFormat="1" ht="15" customHeight="1">
      <c r="B22" s="611" t="s">
        <v>60</v>
      </c>
      <c r="C22" s="613">
        <f>+C18+C14</f>
        <v>8550116.765929999</v>
      </c>
      <c r="D22" s="613">
        <f>+D18+D14</f>
        <v>32080038.10576</v>
      </c>
      <c r="E22" s="310"/>
      <c r="F22" s="346"/>
      <c r="G22" s="313"/>
      <c r="H22" s="313"/>
      <c r="I22" s="313"/>
      <c r="J22" s="310"/>
      <c r="K22" s="310"/>
      <c r="L22" s="310"/>
      <c r="M22" s="220"/>
      <c r="N22" s="220"/>
    </row>
    <row r="23" spans="2:14" s="16" customFormat="1" ht="15" customHeight="1">
      <c r="B23" s="612"/>
      <c r="C23" s="614"/>
      <c r="D23" s="614"/>
      <c r="E23" s="310"/>
      <c r="F23" s="349"/>
      <c r="G23" s="313"/>
      <c r="H23" s="312"/>
      <c r="I23" s="312"/>
      <c r="J23" s="310"/>
      <c r="K23" s="310"/>
      <c r="L23" s="316"/>
      <c r="M23" s="228"/>
      <c r="N23" s="220"/>
    </row>
    <row r="24" spans="2:14" ht="14.25">
      <c r="B24" s="325"/>
      <c r="C24" s="509"/>
      <c r="D24" s="311"/>
      <c r="E24" s="310"/>
      <c r="F24" s="349"/>
      <c r="G24" s="313"/>
      <c r="H24" s="310"/>
      <c r="I24" s="310"/>
      <c r="J24" s="310"/>
      <c r="K24" s="317"/>
      <c r="L24" s="317"/>
      <c r="M24" s="220"/>
      <c r="N24" s="220"/>
    </row>
    <row r="25" spans="2:14" ht="14.25">
      <c r="B25" s="326"/>
      <c r="C25" s="509"/>
      <c r="D25" s="327"/>
      <c r="E25" s="318"/>
      <c r="F25" s="350"/>
      <c r="G25" s="313"/>
      <c r="H25" s="310"/>
      <c r="I25" s="310"/>
      <c r="J25" s="310"/>
      <c r="K25" s="310"/>
      <c r="L25" s="319"/>
      <c r="M25" s="220"/>
      <c r="N25" s="220"/>
    </row>
    <row r="26" spans="2:14" ht="14.25">
      <c r="B26" s="325"/>
      <c r="C26" s="201"/>
      <c r="D26" s="328"/>
      <c r="E26" s="310"/>
      <c r="F26" s="350"/>
      <c r="G26" s="313"/>
      <c r="H26" s="310"/>
      <c r="I26" s="310"/>
      <c r="J26" s="310"/>
      <c r="K26" s="318"/>
      <c r="L26" s="314"/>
      <c r="M26" s="226"/>
      <c r="N26" s="220"/>
    </row>
    <row r="27" spans="2:14" ht="14.25">
      <c r="B27" s="311"/>
      <c r="D27" s="329"/>
      <c r="E27" s="310"/>
      <c r="F27" s="350"/>
      <c r="G27" s="313"/>
      <c r="H27" s="310"/>
      <c r="I27" s="310"/>
      <c r="J27" s="310"/>
      <c r="K27" s="310"/>
      <c r="L27" s="314"/>
      <c r="M27" s="220"/>
      <c r="N27" s="220"/>
    </row>
    <row r="28" spans="2:14" ht="14.25">
      <c r="B28" s="311"/>
      <c r="C28" s="330"/>
      <c r="D28" s="330"/>
      <c r="E28" s="310"/>
      <c r="F28" s="349"/>
      <c r="G28" s="313"/>
      <c r="H28" s="310"/>
      <c r="I28" s="310"/>
      <c r="J28" s="310"/>
      <c r="K28" s="310"/>
      <c r="L28" s="320"/>
      <c r="M28" s="223"/>
      <c r="N28" s="220"/>
    </row>
    <row r="29" spans="2:14" s="1" customFormat="1" ht="18">
      <c r="B29" s="127" t="s">
        <v>114</v>
      </c>
      <c r="C29" s="127"/>
      <c r="D29" s="127"/>
      <c r="E29" s="310"/>
      <c r="F29" s="349"/>
      <c r="G29" s="313"/>
      <c r="H29" s="321"/>
      <c r="I29" s="321"/>
      <c r="J29" s="310"/>
      <c r="K29" s="310"/>
      <c r="L29" s="310"/>
      <c r="M29" s="220"/>
      <c r="N29" s="220"/>
    </row>
    <row r="30" spans="2:14" s="1" customFormat="1" ht="18">
      <c r="B30" s="309" t="s">
        <v>133</v>
      </c>
      <c r="C30" s="309"/>
      <c r="D30" s="309"/>
      <c r="E30" s="310"/>
      <c r="F30" s="349"/>
      <c r="G30" s="313"/>
      <c r="H30" s="321"/>
      <c r="I30" s="321"/>
      <c r="J30" s="310"/>
      <c r="K30" s="310"/>
      <c r="L30" s="314"/>
      <c r="M30" s="226"/>
      <c r="N30" s="220"/>
    </row>
    <row r="31" spans="2:14" s="1" customFormat="1" ht="18">
      <c r="B31" s="309" t="s">
        <v>134</v>
      </c>
      <c r="C31" s="309"/>
      <c r="D31" s="309"/>
      <c r="E31" s="310"/>
      <c r="F31" s="349"/>
      <c r="G31" s="313"/>
      <c r="H31" s="321"/>
      <c r="I31" s="321"/>
      <c r="J31" s="310"/>
      <c r="K31" s="310"/>
      <c r="L31" s="310"/>
      <c r="M31" s="220"/>
      <c r="N31" s="220"/>
    </row>
    <row r="32" spans="2:14" s="1" customFormat="1" ht="18">
      <c r="B32" s="181" t="s">
        <v>150</v>
      </c>
      <c r="C32" s="181"/>
      <c r="D32" s="181"/>
      <c r="E32" s="310"/>
      <c r="F32" s="349"/>
      <c r="G32" s="313"/>
      <c r="H32" s="310"/>
      <c r="I32" s="310"/>
      <c r="J32" s="310"/>
      <c r="K32" s="310"/>
      <c r="L32" s="310"/>
      <c r="M32" s="220"/>
      <c r="N32" s="220"/>
    </row>
    <row r="33" spans="2:14" s="3" customFormat="1" ht="15.75">
      <c r="B33" s="248" t="str">
        <f>+B9</f>
        <v>Al 30 de abril de 2024</v>
      </c>
      <c r="C33" s="248"/>
      <c r="D33" s="134"/>
      <c r="E33" s="322"/>
      <c r="F33" s="349"/>
      <c r="G33" s="313"/>
      <c r="H33" s="323"/>
      <c r="I33" s="322"/>
      <c r="J33" s="322"/>
      <c r="K33" s="324"/>
      <c r="L33" s="324"/>
      <c r="M33" s="224"/>
      <c r="N33" s="224"/>
    </row>
    <row r="34" spans="2:14" s="3" customFormat="1" ht="9.75" customHeight="1">
      <c r="B34" s="14"/>
      <c r="C34" s="248"/>
      <c r="D34" s="12"/>
      <c r="E34" s="322"/>
      <c r="F34" s="349"/>
      <c r="G34" s="313"/>
      <c r="H34" s="322"/>
      <c r="I34" s="322"/>
      <c r="J34" s="322"/>
      <c r="K34" s="324"/>
      <c r="L34" s="324"/>
      <c r="M34" s="224"/>
      <c r="N34" s="224"/>
    </row>
    <row r="35" spans="2:12" ht="18.75" customHeight="1">
      <c r="B35" s="615" t="s">
        <v>153</v>
      </c>
      <c r="C35" s="617" t="s">
        <v>85</v>
      </c>
      <c r="D35" s="617" t="s">
        <v>161</v>
      </c>
      <c r="E35" s="310"/>
      <c r="F35" s="349"/>
      <c r="G35" s="313"/>
      <c r="H35" s="310"/>
      <c r="I35" s="310"/>
      <c r="J35" s="310"/>
      <c r="K35" s="311"/>
      <c r="L35" s="311"/>
    </row>
    <row r="36" spans="2:14" s="16" customFormat="1" ht="18.75" customHeight="1">
      <c r="B36" s="616"/>
      <c r="C36" s="618"/>
      <c r="D36" s="618"/>
      <c r="E36" s="310"/>
      <c r="F36" s="349"/>
      <c r="G36" s="313"/>
      <c r="H36" s="310"/>
      <c r="I36" s="310"/>
      <c r="J36" s="310"/>
      <c r="K36" s="312"/>
      <c r="L36" s="312"/>
      <c r="M36" s="225"/>
      <c r="N36" s="225"/>
    </row>
    <row r="37" spans="2:14" s="16" customFormat="1" ht="9.75" customHeight="1">
      <c r="B37" s="17"/>
      <c r="C37" s="252"/>
      <c r="D37" s="19"/>
      <c r="E37" s="310"/>
      <c r="F37" s="349"/>
      <c r="G37" s="313"/>
      <c r="H37" s="310"/>
      <c r="I37" s="310"/>
      <c r="J37" s="310"/>
      <c r="K37" s="312"/>
      <c r="L37" s="312"/>
      <c r="M37" s="225"/>
      <c r="N37" s="225"/>
    </row>
    <row r="38" spans="2:14" s="13" customFormat="1" ht="19.5" customHeight="1">
      <c r="B38" s="18" t="s">
        <v>144</v>
      </c>
      <c r="C38" s="447">
        <f>SUM(C39:C40)</f>
        <v>486959.61707000004</v>
      </c>
      <c r="D38" s="445">
        <f>SUM(D39:D40)</f>
        <v>1827072.48324664</v>
      </c>
      <c r="E38" s="310"/>
      <c r="F38" s="346"/>
      <c r="G38" s="313"/>
      <c r="H38" s="310"/>
      <c r="I38" s="310"/>
      <c r="J38" s="310"/>
      <c r="K38" s="313"/>
      <c r="L38" s="313"/>
      <c r="M38" s="222"/>
      <c r="N38" s="222"/>
    </row>
    <row r="39" spans="2:14" s="13" customFormat="1" ht="16.5" customHeight="1">
      <c r="B39" s="15" t="s">
        <v>24</v>
      </c>
      <c r="C39" s="448">
        <v>433654.71302</v>
      </c>
      <c r="D39" s="446">
        <f>+C39*$E$9</f>
        <v>1627072.48325104</v>
      </c>
      <c r="E39" s="310"/>
      <c r="F39" s="348"/>
      <c r="G39" s="313"/>
      <c r="H39" s="310"/>
      <c r="I39" s="310"/>
      <c r="J39" s="310"/>
      <c r="K39" s="313"/>
      <c r="L39" s="313"/>
      <c r="M39" s="222"/>
      <c r="N39" s="222"/>
    </row>
    <row r="40" spans="2:14" s="13" customFormat="1" ht="16.5" customHeight="1">
      <c r="B40" s="15" t="s">
        <v>25</v>
      </c>
      <c r="C40" s="448">
        <v>53304.90405</v>
      </c>
      <c r="D40" s="446">
        <f>+C40*$E$9</f>
        <v>199999.99999559997</v>
      </c>
      <c r="E40" s="310"/>
      <c r="F40" s="348"/>
      <c r="G40" s="313"/>
      <c r="H40" s="310"/>
      <c r="I40" s="310"/>
      <c r="J40" s="310"/>
      <c r="K40" s="313"/>
      <c r="L40" s="313"/>
      <c r="M40" s="222"/>
      <c r="N40" s="222"/>
    </row>
    <row r="41" spans="2:14" s="13" customFormat="1" ht="15" customHeight="1">
      <c r="B41" s="15"/>
      <c r="C41" s="448"/>
      <c r="D41" s="446"/>
      <c r="E41" s="310"/>
      <c r="F41" s="349"/>
      <c r="G41" s="313"/>
      <c r="H41" s="310"/>
      <c r="I41" s="310"/>
      <c r="J41" s="310"/>
      <c r="K41" s="313"/>
      <c r="L41" s="313"/>
      <c r="M41" s="222"/>
      <c r="N41" s="222"/>
    </row>
    <row r="42" spans="2:14" s="13" customFormat="1" ht="19.5" customHeight="1">
      <c r="B42" s="18" t="s">
        <v>145</v>
      </c>
      <c r="C42" s="447">
        <f>SUM(C43:C44)</f>
        <v>508201.74553</v>
      </c>
      <c r="D42" s="445">
        <f>SUM(D43:D44)</f>
        <v>1906772.9492285599</v>
      </c>
      <c r="E42" s="310"/>
      <c r="F42" s="346"/>
      <c r="G42" s="313"/>
      <c r="H42" s="310"/>
      <c r="I42" s="310"/>
      <c r="J42" s="310"/>
      <c r="K42" s="313"/>
      <c r="L42" s="313"/>
      <c r="M42" s="222"/>
      <c r="N42" s="222"/>
    </row>
    <row r="43" spans="2:14" s="13" customFormat="1" ht="16.5" customHeight="1">
      <c r="B43" s="15" t="s">
        <v>24</v>
      </c>
      <c r="C43" s="448">
        <v>508201.74553</v>
      </c>
      <c r="D43" s="446">
        <f>+C43*$E$9</f>
        <v>1906772.9492285599</v>
      </c>
      <c r="E43" s="310"/>
      <c r="G43" s="313"/>
      <c r="H43" s="310"/>
      <c r="I43" s="310"/>
      <c r="J43" s="310"/>
      <c r="K43" s="313"/>
      <c r="L43" s="313"/>
      <c r="M43" s="222"/>
      <c r="N43" s="222"/>
    </row>
    <row r="44" spans="2:14" s="13" customFormat="1" ht="16.5" customHeight="1">
      <c r="B44" s="15" t="s">
        <v>25</v>
      </c>
      <c r="C44" s="448">
        <v>0</v>
      </c>
      <c r="D44" s="446">
        <f>+C44*$E$9</f>
        <v>0</v>
      </c>
      <c r="E44" s="310"/>
      <c r="F44" s="348"/>
      <c r="G44" s="313"/>
      <c r="H44" s="310"/>
      <c r="I44" s="310"/>
      <c r="J44" s="310"/>
      <c r="K44" s="313"/>
      <c r="L44" s="313"/>
      <c r="M44" s="222"/>
      <c r="N44" s="222"/>
    </row>
    <row r="45" spans="2:14" s="13" customFormat="1" ht="7.5" customHeight="1">
      <c r="B45" s="15"/>
      <c r="C45" s="448"/>
      <c r="D45" s="446"/>
      <c r="E45" s="310"/>
      <c r="F45" s="313"/>
      <c r="G45" s="313"/>
      <c r="H45" s="310"/>
      <c r="I45" s="310"/>
      <c r="J45" s="310"/>
      <c r="K45" s="313"/>
      <c r="L45" s="313"/>
      <c r="M45" s="222"/>
      <c r="N45" s="222"/>
    </row>
    <row r="46" spans="2:14" s="13" customFormat="1" ht="15" customHeight="1">
      <c r="B46" s="611" t="s">
        <v>60</v>
      </c>
      <c r="C46" s="613">
        <f>+C42+C38</f>
        <v>995161.3626000001</v>
      </c>
      <c r="D46" s="613">
        <f>+D42+D38</f>
        <v>3733845.4324752</v>
      </c>
      <c r="E46" s="310"/>
      <c r="F46" s="313"/>
      <c r="G46" s="313"/>
      <c r="H46" s="310"/>
      <c r="I46" s="310"/>
      <c r="J46" s="310"/>
      <c r="K46" s="313"/>
      <c r="L46" s="313"/>
      <c r="M46" s="222"/>
      <c r="N46" s="222"/>
    </row>
    <row r="47" spans="2:14" s="16" customFormat="1" ht="15" customHeight="1">
      <c r="B47" s="612"/>
      <c r="C47" s="614"/>
      <c r="D47" s="614"/>
      <c r="E47" s="310"/>
      <c r="F47" s="339"/>
      <c r="G47" s="313"/>
      <c r="H47" s="310"/>
      <c r="I47" s="310"/>
      <c r="J47" s="310"/>
      <c r="K47" s="312"/>
      <c r="L47" s="312"/>
      <c r="M47" s="225"/>
      <c r="N47" s="225"/>
    </row>
    <row r="48" spans="2:12" ht="16.5" customHeight="1">
      <c r="B48" s="28" t="s">
        <v>136</v>
      </c>
      <c r="C48" s="189"/>
      <c r="D48" s="201"/>
      <c r="E48" s="310"/>
      <c r="F48" s="313"/>
      <c r="G48" s="313"/>
      <c r="H48" s="310"/>
      <c r="I48" s="310"/>
      <c r="J48" s="310"/>
      <c r="K48" s="311"/>
      <c r="L48" s="311"/>
    </row>
    <row r="49" spans="2:12" ht="12.75">
      <c r="B49" s="2" t="s">
        <v>137</v>
      </c>
      <c r="C49" s="485"/>
      <c r="D49" s="201"/>
      <c r="E49" s="310"/>
      <c r="F49" s="310"/>
      <c r="G49" s="310"/>
      <c r="H49" s="310"/>
      <c r="I49" s="310"/>
      <c r="J49" s="310"/>
      <c r="K49" s="311"/>
      <c r="L49" s="311"/>
    </row>
    <row r="50" spans="2:12" ht="12.75">
      <c r="B50" s="311"/>
      <c r="C50" s="485"/>
      <c r="D50" s="331"/>
      <c r="E50" s="310"/>
      <c r="F50" s="310"/>
      <c r="G50" s="310"/>
      <c r="H50" s="310"/>
      <c r="I50" s="310"/>
      <c r="J50" s="310"/>
      <c r="K50" s="311"/>
      <c r="L50" s="311"/>
    </row>
    <row r="51" spans="2:12" ht="12.75">
      <c r="B51" s="311"/>
      <c r="C51" s="331"/>
      <c r="D51" s="420"/>
      <c r="E51" s="310"/>
      <c r="F51" s="310"/>
      <c r="G51" s="310"/>
      <c r="H51" s="310"/>
      <c r="I51" s="310"/>
      <c r="J51" s="310"/>
      <c r="K51" s="311"/>
      <c r="L51" s="311"/>
    </row>
    <row r="52" spans="2:4" ht="12.75">
      <c r="B52" s="311"/>
      <c r="C52" s="474"/>
      <c r="D52" s="311"/>
    </row>
    <row r="53" spans="2:4" ht="12.75">
      <c r="B53" s="311"/>
      <c r="C53" s="331"/>
      <c r="D53" s="331"/>
    </row>
    <row r="54" spans="2:4" ht="12.75">
      <c r="B54" s="311"/>
      <c r="C54" s="331"/>
      <c r="D54" s="331"/>
    </row>
    <row r="55" spans="2:4" ht="12.75">
      <c r="B55" s="311"/>
      <c r="C55" s="331"/>
      <c r="D55" s="331"/>
    </row>
    <row r="56" spans="2:4" ht="12.75">
      <c r="B56" s="311"/>
      <c r="C56" s="417"/>
      <c r="D56" s="417"/>
    </row>
    <row r="57" spans="2:4" ht="12.75">
      <c r="B57" s="311"/>
      <c r="C57" s="331"/>
      <c r="D57" s="331"/>
    </row>
    <row r="58" spans="2:4" ht="12.75">
      <c r="B58" s="311"/>
      <c r="C58" s="331"/>
      <c r="D58" s="331"/>
    </row>
    <row r="59" spans="2:4" ht="12.75">
      <c r="B59" s="311"/>
      <c r="C59" s="331"/>
      <c r="D59" s="311"/>
    </row>
    <row r="60" spans="2:4" ht="12.75">
      <c r="B60" s="311"/>
      <c r="C60" s="332"/>
      <c r="D60" s="311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6.28125" style="85" customWidth="1"/>
    <col min="3" max="4" width="19.7109375" style="85" customWidth="1"/>
    <col min="5" max="5" width="14.8515625" style="85" bestFit="1" customWidth="1"/>
    <col min="6" max="6" width="15.7109375" style="85" customWidth="1"/>
    <col min="7" max="12" width="11.421875" style="85" customWidth="1"/>
    <col min="13" max="13" width="11.421875" style="130" customWidth="1"/>
    <col min="14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2" customHeight="1">
      <c r="B4" s="101"/>
    </row>
    <row r="5" spans="2:13" s="133" customFormat="1" ht="18">
      <c r="B5" s="127" t="s">
        <v>13</v>
      </c>
      <c r="C5" s="127"/>
      <c r="D5" s="127"/>
      <c r="M5" s="187"/>
    </row>
    <row r="6" spans="2:13" s="133" customFormat="1" ht="18">
      <c r="B6" s="309" t="s">
        <v>133</v>
      </c>
      <c r="C6" s="309"/>
      <c r="D6" s="309"/>
      <c r="M6" s="187"/>
    </row>
    <row r="7" spans="2:13" s="133" customFormat="1" ht="18">
      <c r="B7" s="309" t="s">
        <v>132</v>
      </c>
      <c r="C7" s="309"/>
      <c r="D7" s="309"/>
      <c r="M7" s="187"/>
    </row>
    <row r="8" spans="2:13" s="133" customFormat="1" ht="18">
      <c r="B8" s="333" t="s">
        <v>37</v>
      </c>
      <c r="C8" s="181"/>
      <c r="D8" s="181"/>
      <c r="M8" s="187"/>
    </row>
    <row r="9" spans="2:13" s="133" customFormat="1" ht="18">
      <c r="B9" s="619" t="str">
        <f>+'DEP-C2'!B9</f>
        <v>Al 30 de abril de 2024</v>
      </c>
      <c r="C9" s="619"/>
      <c r="D9" s="258"/>
      <c r="E9" s="308">
        <f>+Portada!H39</f>
        <v>3.752</v>
      </c>
      <c r="M9" s="187"/>
    </row>
    <row r="10" spans="2:13" s="65" customFormat="1" ht="9.75" customHeight="1">
      <c r="B10" s="620"/>
      <c r="C10" s="620"/>
      <c r="D10" s="620"/>
      <c r="E10" s="274"/>
      <c r="M10" s="162"/>
    </row>
    <row r="11" spans="2:4" ht="16.5" customHeight="1">
      <c r="B11" s="625" t="s">
        <v>92</v>
      </c>
      <c r="C11" s="627" t="s">
        <v>85</v>
      </c>
      <c r="D11" s="617" t="s">
        <v>161</v>
      </c>
    </row>
    <row r="12" spans="2:13" s="80" customFormat="1" ht="16.5" customHeight="1">
      <c r="B12" s="626"/>
      <c r="C12" s="628"/>
      <c r="D12" s="618"/>
      <c r="M12" s="163"/>
    </row>
    <row r="13" spans="2:13" s="80" customFormat="1" ht="9.75" customHeight="1">
      <c r="B13" s="64"/>
      <c r="C13" s="158"/>
      <c r="D13" s="159"/>
      <c r="M13" s="163"/>
    </row>
    <row r="14" spans="2:13" s="80" customFormat="1" ht="16.5">
      <c r="B14" s="160" t="s">
        <v>63</v>
      </c>
      <c r="C14" s="449">
        <f>SUM(C15:C16)</f>
        <v>1411024.07238</v>
      </c>
      <c r="D14" s="449">
        <f>SUM(D15:D16)</f>
        <v>5294162.31957</v>
      </c>
      <c r="M14" s="163"/>
    </row>
    <row r="15" spans="2:13" s="80" customFormat="1" ht="16.5">
      <c r="B15" s="79" t="s">
        <v>24</v>
      </c>
      <c r="C15" s="450">
        <v>209883.89082</v>
      </c>
      <c r="D15" s="376">
        <f>ROUND(+C15*$E$9,5)</f>
        <v>787484.35836</v>
      </c>
      <c r="E15" s="275"/>
      <c r="F15" s="417"/>
      <c r="G15" s="276"/>
      <c r="M15" s="163"/>
    </row>
    <row r="16" spans="2:13" s="80" customFormat="1" ht="16.5">
      <c r="B16" s="79" t="s">
        <v>25</v>
      </c>
      <c r="C16" s="450">
        <v>1201140.18156</v>
      </c>
      <c r="D16" s="376">
        <f>ROUND(+C16*$E$9,5)</f>
        <v>4506677.96121</v>
      </c>
      <c r="E16" s="275"/>
      <c r="F16" s="417"/>
      <c r="G16" s="276"/>
      <c r="M16" s="163"/>
    </row>
    <row r="17" spans="2:13" s="80" customFormat="1" ht="15" customHeight="1">
      <c r="B17" s="64"/>
      <c r="C17" s="451"/>
      <c r="D17" s="369"/>
      <c r="M17" s="163"/>
    </row>
    <row r="18" spans="2:13" s="80" customFormat="1" ht="16.5">
      <c r="B18" s="160" t="s">
        <v>62</v>
      </c>
      <c r="C18" s="449">
        <f>SUM(C19:C20)</f>
        <v>7139092.693550001</v>
      </c>
      <c r="D18" s="449">
        <f>SUM(D19:D20)</f>
        <v>26785875.7862</v>
      </c>
      <c r="E18" s="275"/>
      <c r="M18" s="163"/>
    </row>
    <row r="19" spans="2:13" s="80" customFormat="1" ht="16.5">
      <c r="B19" s="79" t="s">
        <v>24</v>
      </c>
      <c r="C19" s="450">
        <f>+C23+C27+C31</f>
        <v>4333133.863030001</v>
      </c>
      <c r="D19" s="450">
        <f>+D23+D27+D31</f>
        <v>16257918.25409</v>
      </c>
      <c r="M19" s="163"/>
    </row>
    <row r="20" spans="2:13" s="80" customFormat="1" ht="16.5">
      <c r="B20" s="79" t="s">
        <v>25</v>
      </c>
      <c r="C20" s="450">
        <f>+C24+C28+C32</f>
        <v>2805958.8305200003</v>
      </c>
      <c r="D20" s="450">
        <f>+D24+D28+D32</f>
        <v>10527957.532110002</v>
      </c>
      <c r="M20" s="163"/>
    </row>
    <row r="21" spans="2:13" s="80" customFormat="1" ht="9.75" customHeight="1">
      <c r="B21" s="81"/>
      <c r="C21" s="450"/>
      <c r="D21" s="376"/>
      <c r="M21" s="163"/>
    </row>
    <row r="22" spans="2:13" s="80" customFormat="1" ht="16.5">
      <c r="B22" s="335" t="s">
        <v>172</v>
      </c>
      <c r="C22" s="452">
        <f>SUM(C23:C24)</f>
        <v>6697694.518420001</v>
      </c>
      <c r="D22" s="452">
        <f>SUM(D23:D24)</f>
        <v>25129749.83311</v>
      </c>
      <c r="G22" s="275"/>
      <c r="I22" s="277"/>
      <c r="M22" s="163"/>
    </row>
    <row r="23" spans="2:13" s="80" customFormat="1" ht="16.5">
      <c r="B23" s="336" t="s">
        <v>24</v>
      </c>
      <c r="C23" s="451">
        <v>4276261.50561</v>
      </c>
      <c r="D23" s="369">
        <f>ROUND(+C23*$E$9,5)</f>
        <v>16044533.16905</v>
      </c>
      <c r="G23" s="275"/>
      <c r="I23" s="277"/>
      <c r="M23" s="163"/>
    </row>
    <row r="24" spans="2:13" s="80" customFormat="1" ht="16.5">
      <c r="B24" s="336" t="s">
        <v>25</v>
      </c>
      <c r="C24" s="451">
        <v>2421433.01281</v>
      </c>
      <c r="D24" s="369">
        <f>ROUND(+C24*$E$9,5)</f>
        <v>9085216.66406</v>
      </c>
      <c r="G24" s="275"/>
      <c r="I24" s="277"/>
      <c r="M24" s="163"/>
    </row>
    <row r="25" spans="2:13" s="80" customFormat="1" ht="9.75" customHeight="1">
      <c r="B25" s="81"/>
      <c r="C25" s="450"/>
      <c r="D25" s="376"/>
      <c r="M25" s="163"/>
    </row>
    <row r="26" spans="2:13" s="80" customFormat="1" ht="16.5">
      <c r="B26" s="335" t="s">
        <v>173</v>
      </c>
      <c r="C26" s="452">
        <f>SUM(C27:C28)</f>
        <v>54448.85137</v>
      </c>
      <c r="D26" s="452">
        <f>SUM(D27:D28)</f>
        <v>204292.09034</v>
      </c>
      <c r="G26" s="278"/>
      <c r="M26" s="163"/>
    </row>
    <row r="27" spans="2:13" s="80" customFormat="1" ht="16.5">
      <c r="B27" s="336" t="s">
        <v>24</v>
      </c>
      <c r="C27" s="451">
        <v>50482.81939</v>
      </c>
      <c r="D27" s="369">
        <f>ROUND(+C27*$E$9,5)</f>
        <v>189411.53835</v>
      </c>
      <c r="M27" s="163"/>
    </row>
    <row r="28" spans="2:13" s="80" customFormat="1" ht="16.5">
      <c r="B28" s="336" t="s">
        <v>25</v>
      </c>
      <c r="C28" s="451">
        <v>3966.03198</v>
      </c>
      <c r="D28" s="369">
        <f>ROUND(+C28*$E$9,5)</f>
        <v>14880.55199</v>
      </c>
      <c r="M28" s="163"/>
    </row>
    <row r="29" spans="2:13" s="80" customFormat="1" ht="9.75" customHeight="1">
      <c r="B29" s="81"/>
      <c r="C29" s="369"/>
      <c r="D29" s="376"/>
      <c r="M29" s="163"/>
    </row>
    <row r="30" spans="2:13" s="80" customFormat="1" ht="16.5">
      <c r="B30" s="337" t="s">
        <v>174</v>
      </c>
      <c r="C30" s="452">
        <f>+SUM(C31:C32)</f>
        <v>386949.32376</v>
      </c>
      <c r="D30" s="452">
        <f>+SUM(D31:D32)</f>
        <v>1451833.86275</v>
      </c>
      <c r="M30" s="163"/>
    </row>
    <row r="31" spans="2:13" s="80" customFormat="1" ht="16.5">
      <c r="B31" s="336" t="s">
        <v>24</v>
      </c>
      <c r="C31" s="451">
        <v>6389.53803</v>
      </c>
      <c r="D31" s="369">
        <f>ROUND(+C31*$E$9,5)</f>
        <v>23973.54669</v>
      </c>
      <c r="M31" s="163"/>
    </row>
    <row r="32" spans="2:13" s="80" customFormat="1" ht="16.5">
      <c r="B32" s="336" t="s">
        <v>25</v>
      </c>
      <c r="C32" s="451">
        <v>380559.78573</v>
      </c>
      <c r="D32" s="369">
        <f>ROUND(+C32*$E$9,5)</f>
        <v>1427860.31606</v>
      </c>
      <c r="M32" s="163"/>
    </row>
    <row r="33" spans="2:13" s="80" customFormat="1" ht="9.75" customHeight="1">
      <c r="B33" s="190"/>
      <c r="C33" s="451"/>
      <c r="D33" s="369"/>
      <c r="M33" s="163"/>
    </row>
    <row r="34" spans="2:13" s="80" customFormat="1" ht="15" customHeight="1">
      <c r="B34" s="621" t="s">
        <v>60</v>
      </c>
      <c r="C34" s="623">
        <f>+C18+C14</f>
        <v>8550116.76593</v>
      </c>
      <c r="D34" s="623">
        <f>+D18+D14</f>
        <v>32080038.105770003</v>
      </c>
      <c r="M34" s="163"/>
    </row>
    <row r="35" spans="2:13" s="80" customFormat="1" ht="15" customHeight="1">
      <c r="B35" s="622"/>
      <c r="C35" s="624"/>
      <c r="D35" s="624"/>
      <c r="M35" s="163"/>
    </row>
    <row r="36" spans="3:6" ht="16.5">
      <c r="C36" s="189"/>
      <c r="F36" s="80"/>
    </row>
    <row r="37" spans="3:6" ht="16.5">
      <c r="C37" s="189"/>
      <c r="D37" s="100"/>
      <c r="F37" s="80"/>
    </row>
    <row r="38" spans="3:6" ht="16.5">
      <c r="C38" s="189"/>
      <c r="D38" s="189"/>
      <c r="F38" s="80"/>
    </row>
    <row r="40" spans="2:13" s="133" customFormat="1" ht="18">
      <c r="B40" s="127" t="s">
        <v>115</v>
      </c>
      <c r="C40" s="127"/>
      <c r="D40" s="127"/>
      <c r="M40" s="187"/>
    </row>
    <row r="41" spans="2:13" s="133" customFormat="1" ht="18">
      <c r="B41" s="309" t="s">
        <v>133</v>
      </c>
      <c r="C41" s="309"/>
      <c r="D41" s="309"/>
      <c r="M41" s="187"/>
    </row>
    <row r="42" spans="2:13" s="133" customFormat="1" ht="18">
      <c r="B42" s="309" t="s">
        <v>134</v>
      </c>
      <c r="C42" s="309"/>
      <c r="D42" s="309"/>
      <c r="M42" s="187"/>
    </row>
    <row r="43" spans="2:13" s="133" customFormat="1" ht="18">
      <c r="B43" s="333" t="s">
        <v>37</v>
      </c>
      <c r="C43" s="181"/>
      <c r="D43" s="181"/>
      <c r="M43" s="187"/>
    </row>
    <row r="44" spans="2:13" s="133" customFormat="1" ht="18">
      <c r="B44" s="619" t="str">
        <f>+B9</f>
        <v>Al 30 de abril de 2024</v>
      </c>
      <c r="C44" s="619"/>
      <c r="D44" s="246"/>
      <c r="M44" s="187"/>
    </row>
    <row r="45" spans="2:13" s="65" customFormat="1" ht="9.75" customHeight="1">
      <c r="B45" s="620"/>
      <c r="C45" s="620"/>
      <c r="D45" s="620"/>
      <c r="M45" s="162"/>
    </row>
    <row r="46" spans="2:4" ht="16.5" customHeight="1">
      <c r="B46" s="625" t="s">
        <v>92</v>
      </c>
      <c r="C46" s="627" t="s">
        <v>85</v>
      </c>
      <c r="D46" s="617" t="s">
        <v>161</v>
      </c>
    </row>
    <row r="47" spans="2:13" s="80" customFormat="1" ht="16.5" customHeight="1">
      <c r="B47" s="626"/>
      <c r="C47" s="628"/>
      <c r="D47" s="618"/>
      <c r="M47" s="163"/>
    </row>
    <row r="48" spans="2:13" s="80" customFormat="1" ht="9.75" customHeight="1">
      <c r="B48" s="64"/>
      <c r="C48" s="158"/>
      <c r="D48" s="191"/>
      <c r="M48" s="163"/>
    </row>
    <row r="49" spans="2:13" s="80" customFormat="1" ht="16.5">
      <c r="B49" s="160" t="s">
        <v>63</v>
      </c>
      <c r="C49" s="449">
        <f>SUM(C50:C51)</f>
        <v>486959.61707000004</v>
      </c>
      <c r="D49" s="370">
        <f>SUM(D50:D51)</f>
        <v>1827072.4832456</v>
      </c>
      <c r="F49" s="339"/>
      <c r="M49" s="163"/>
    </row>
    <row r="50" spans="2:13" s="80" customFormat="1" ht="16.5">
      <c r="B50" s="79" t="s">
        <v>24</v>
      </c>
      <c r="C50" s="450">
        <v>433654.71302</v>
      </c>
      <c r="D50" s="376">
        <f>ROUND(+C50*$E$9,5)</f>
        <v>1627072.48325</v>
      </c>
      <c r="F50" s="338"/>
      <c r="M50" s="163"/>
    </row>
    <row r="51" spans="2:13" s="80" customFormat="1" ht="16.5" customHeight="1">
      <c r="B51" s="79" t="s">
        <v>25</v>
      </c>
      <c r="C51" s="450">
        <v>53304.90405</v>
      </c>
      <c r="D51" s="376">
        <f>+C51*$E$9</f>
        <v>199999.99999559997</v>
      </c>
      <c r="M51" s="163"/>
    </row>
    <row r="52" spans="2:13" s="80" customFormat="1" ht="15" customHeight="1">
      <c r="B52" s="64"/>
      <c r="C52" s="451"/>
      <c r="D52" s="369"/>
      <c r="M52" s="163"/>
    </row>
    <row r="53" spans="2:13" s="80" customFormat="1" ht="16.5">
      <c r="B53" s="160" t="s">
        <v>62</v>
      </c>
      <c r="C53" s="449">
        <f>SUM(C54:C55)</f>
        <v>508201.74553</v>
      </c>
      <c r="D53" s="449">
        <f>SUM(D54:D55)</f>
        <v>1906772.94923</v>
      </c>
      <c r="F53" s="339"/>
      <c r="M53" s="163"/>
    </row>
    <row r="54" spans="2:13" s="80" customFormat="1" ht="16.5">
      <c r="B54" s="79" t="s">
        <v>24</v>
      </c>
      <c r="C54" s="450">
        <f>+C58</f>
        <v>508201.74553</v>
      </c>
      <c r="D54" s="376">
        <f>+D58</f>
        <v>1906772.94923</v>
      </c>
      <c r="F54" s="339"/>
      <c r="M54" s="163"/>
    </row>
    <row r="55" spans="2:13" s="80" customFormat="1" ht="16.5">
      <c r="B55" s="79" t="s">
        <v>25</v>
      </c>
      <c r="C55" s="450">
        <f>+C59</f>
        <v>0</v>
      </c>
      <c r="D55" s="376">
        <f>+D59</f>
        <v>0</v>
      </c>
      <c r="F55" s="339"/>
      <c r="M55" s="163"/>
    </row>
    <row r="56" spans="2:13" s="80" customFormat="1" ht="9.75" customHeight="1">
      <c r="B56" s="81"/>
      <c r="C56" s="450"/>
      <c r="D56" s="376"/>
      <c r="M56" s="163"/>
    </row>
    <row r="57" spans="2:13" s="80" customFormat="1" ht="16.5">
      <c r="B57" s="335" t="s">
        <v>172</v>
      </c>
      <c r="C57" s="452">
        <f>SUM(C58:C59)</f>
        <v>508201.74553</v>
      </c>
      <c r="D57" s="452">
        <f>SUM(D58:D59)</f>
        <v>1906772.94923</v>
      </c>
      <c r="F57" s="339"/>
      <c r="M57" s="163"/>
    </row>
    <row r="58" spans="2:13" s="80" customFormat="1" ht="16.5" customHeight="1">
      <c r="B58" s="336" t="s">
        <v>24</v>
      </c>
      <c r="C58" s="451">
        <v>508201.74553</v>
      </c>
      <c r="D58" s="369">
        <f>ROUND(+C58*$E$9,5)</f>
        <v>1906772.94923</v>
      </c>
      <c r="F58" s="338"/>
      <c r="M58" s="163"/>
    </row>
    <row r="59" spans="2:13" s="80" customFormat="1" ht="16.5" customHeight="1">
      <c r="B59" s="336" t="s">
        <v>25</v>
      </c>
      <c r="C59" s="451">
        <v>0</v>
      </c>
      <c r="D59" s="369">
        <f>ROUND(+C59*$E$9,5)</f>
        <v>0</v>
      </c>
      <c r="F59" s="338"/>
      <c r="M59" s="163"/>
    </row>
    <row r="60" spans="2:13" s="80" customFormat="1" ht="9.75" customHeight="1">
      <c r="B60" s="190"/>
      <c r="C60" s="451"/>
      <c r="D60" s="369"/>
      <c r="M60" s="163"/>
    </row>
    <row r="61" spans="2:13" s="80" customFormat="1" ht="15" customHeight="1">
      <c r="B61" s="621" t="s">
        <v>60</v>
      </c>
      <c r="C61" s="623">
        <f>+C53+C49</f>
        <v>995161.3626000001</v>
      </c>
      <c r="D61" s="623">
        <f>+D53+D49</f>
        <v>3733845.4324756</v>
      </c>
      <c r="M61" s="163"/>
    </row>
    <row r="62" spans="2:13" s="80" customFormat="1" ht="15" customHeight="1">
      <c r="B62" s="622"/>
      <c r="C62" s="624"/>
      <c r="D62" s="624"/>
      <c r="F62" s="339"/>
      <c r="M62" s="163"/>
    </row>
    <row r="63" ht="12.75">
      <c r="C63" s="485"/>
    </row>
    <row r="64" spans="3:6" ht="12.75">
      <c r="C64" s="189"/>
      <c r="D64" s="129"/>
      <c r="F64" s="340"/>
    </row>
    <row r="65" ht="12.75">
      <c r="C65" s="189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73.57421875" style="85" customWidth="1"/>
    <col min="3" max="4" width="19.7109375" style="85" customWidth="1"/>
    <col min="5" max="5" width="20.57421875" style="85" bestFit="1" customWidth="1"/>
    <col min="6" max="6" width="19.28125" style="85" customWidth="1"/>
    <col min="7" max="7" width="16.28125" style="85" bestFit="1" customWidth="1"/>
    <col min="8" max="8" width="16.421875" style="85" customWidth="1"/>
    <col min="9" max="9" width="17.00390625" style="85" customWidth="1"/>
    <col min="10" max="16384" width="11.421875" style="85" customWidth="1"/>
  </cols>
  <sheetData>
    <row r="1" spans="2:5" ht="14.25">
      <c r="B1" s="101"/>
      <c r="E1" s="107"/>
    </row>
    <row r="2" ht="12.75">
      <c r="B2" s="101"/>
    </row>
    <row r="3" ht="12.75">
      <c r="B3" s="101"/>
    </row>
    <row r="4" ht="13.5" customHeight="1">
      <c r="B4" s="101"/>
    </row>
    <row r="5" spans="2:4" ht="18">
      <c r="B5" s="127" t="s">
        <v>14</v>
      </c>
      <c r="C5" s="127"/>
      <c r="D5" s="127"/>
    </row>
    <row r="6" spans="2:11" ht="18">
      <c r="B6" s="309" t="s">
        <v>133</v>
      </c>
      <c r="C6" s="309"/>
      <c r="D6" s="309"/>
      <c r="K6" s="130"/>
    </row>
    <row r="7" spans="2:11" ht="18">
      <c r="B7" s="309" t="s">
        <v>132</v>
      </c>
      <c r="C7" s="309"/>
      <c r="D7" s="309"/>
      <c r="K7" s="130"/>
    </row>
    <row r="8" spans="2:11" ht="16.5">
      <c r="B8" s="333" t="s">
        <v>32</v>
      </c>
      <c r="C8" s="181"/>
      <c r="D8" s="181"/>
      <c r="K8" s="130"/>
    </row>
    <row r="9" spans="2:11" s="133" customFormat="1" ht="18">
      <c r="B9" s="131" t="str">
        <f>+'DEP-C2'!B9</f>
        <v>Al 30 de abril de 2024</v>
      </c>
      <c r="C9" s="131"/>
      <c r="D9" s="258"/>
      <c r="E9" s="308">
        <f>+Portada!H39</f>
        <v>3.752</v>
      </c>
      <c r="K9" s="187"/>
    </row>
    <row r="10" spans="2:11" ht="9.75" customHeight="1">
      <c r="B10" s="629"/>
      <c r="C10" s="629"/>
      <c r="D10" s="629"/>
      <c r="K10" s="130"/>
    </row>
    <row r="11" spans="2:11" ht="16.5" customHeight="1">
      <c r="B11" s="625" t="s">
        <v>93</v>
      </c>
      <c r="C11" s="627" t="s">
        <v>85</v>
      </c>
      <c r="D11" s="617" t="s">
        <v>207</v>
      </c>
      <c r="K11" s="130"/>
    </row>
    <row r="12" spans="2:11" ht="16.5" customHeight="1">
      <c r="B12" s="626"/>
      <c r="C12" s="628"/>
      <c r="D12" s="618"/>
      <c r="F12" s="65"/>
      <c r="G12" s="65"/>
      <c r="H12" s="203"/>
      <c r="I12" s="203"/>
      <c r="K12" s="130"/>
    </row>
    <row r="13" spans="2:11" s="80" customFormat="1" ht="9.75" customHeight="1">
      <c r="B13" s="249"/>
      <c r="C13" s="102"/>
      <c r="D13" s="102"/>
      <c r="F13" s="65"/>
      <c r="G13" s="65"/>
      <c r="H13" s="203"/>
      <c r="I13" s="203"/>
      <c r="K13" s="163"/>
    </row>
    <row r="14" spans="2:11" s="65" customFormat="1" ht="16.5" customHeight="1">
      <c r="B14" s="341" t="s">
        <v>87</v>
      </c>
      <c r="C14" s="368">
        <f>+C16+C20</f>
        <v>4543017.75385</v>
      </c>
      <c r="D14" s="368">
        <f>+D16+D20</f>
        <v>17045402.612439997</v>
      </c>
      <c r="E14" s="210"/>
      <c r="F14" s="339"/>
      <c r="H14" s="203"/>
      <c r="I14" s="203"/>
      <c r="K14" s="162"/>
    </row>
    <row r="15" spans="2:11" s="65" customFormat="1" ht="9.75" customHeight="1">
      <c r="B15" s="63"/>
      <c r="C15" s="453"/>
      <c r="D15" s="453"/>
      <c r="K15" s="162"/>
    </row>
    <row r="16" spans="2:11" s="65" customFormat="1" ht="16.5" customHeight="1">
      <c r="B16" s="342" t="s">
        <v>33</v>
      </c>
      <c r="C16" s="368">
        <f>SUM(C17:C18)</f>
        <v>4011111.11108</v>
      </c>
      <c r="D16" s="368">
        <f>SUM(D17:D18)</f>
        <v>15049688.88877</v>
      </c>
      <c r="E16" s="483"/>
      <c r="F16" s="444"/>
      <c r="H16" s="204"/>
      <c r="K16" s="162"/>
    </row>
    <row r="17" spans="2:11" s="65" customFormat="1" ht="16.5" customHeight="1">
      <c r="B17" s="334" t="s">
        <v>213</v>
      </c>
      <c r="C17" s="369">
        <v>3000000</v>
      </c>
      <c r="D17" s="369">
        <f>ROUND(+C17*$E$9,5)</f>
        <v>11256000</v>
      </c>
      <c r="F17" s="338"/>
      <c r="H17" s="204"/>
      <c r="K17" s="162"/>
    </row>
    <row r="18" spans="2:11" s="65" customFormat="1" ht="16.5" customHeight="1">
      <c r="B18" s="334" t="s">
        <v>224</v>
      </c>
      <c r="C18" s="369">
        <v>1011111.11108</v>
      </c>
      <c r="D18" s="369">
        <f>ROUND(+C18*$E$9,5)</f>
        <v>3793688.88877</v>
      </c>
      <c r="F18" s="338"/>
      <c r="H18" s="204"/>
      <c r="K18" s="162"/>
    </row>
    <row r="19" spans="2:11" s="65" customFormat="1" ht="12" customHeight="1">
      <c r="B19" s="64"/>
      <c r="C19" s="369"/>
      <c r="D19" s="369"/>
      <c r="H19" s="204"/>
      <c r="K19" s="162"/>
    </row>
    <row r="20" spans="2:11" s="65" customFormat="1" ht="16.5" customHeight="1">
      <c r="B20" s="342" t="s">
        <v>34</v>
      </c>
      <c r="C20" s="368">
        <f>SUM(C21:C26)</f>
        <v>531906.6427700002</v>
      </c>
      <c r="D20" s="368">
        <f>SUM(D21:D26)</f>
        <v>1995713.72367</v>
      </c>
      <c r="E20" s="483"/>
      <c r="F20" s="444"/>
      <c r="H20" s="204"/>
      <c r="K20" s="162"/>
    </row>
    <row r="21" spans="2:11" s="65" customFormat="1" ht="16.5" customHeight="1">
      <c r="B21" s="334" t="s">
        <v>214</v>
      </c>
      <c r="C21" s="369">
        <v>319695.1795</v>
      </c>
      <c r="D21" s="369">
        <f aca="true" t="shared" si="0" ref="D21:D26">ROUND(+C21*$E$9,5)</f>
        <v>1199496.31348</v>
      </c>
      <c r="E21" s="431"/>
      <c r="F21" s="338"/>
      <c r="H21" s="204"/>
      <c r="K21" s="162"/>
    </row>
    <row r="22" spans="2:11" s="65" customFormat="1" ht="16.5" customHeight="1">
      <c r="B22" s="334" t="s">
        <v>0</v>
      </c>
      <c r="C22" s="369">
        <v>109249.48561</v>
      </c>
      <c r="D22" s="369">
        <f t="shared" si="0"/>
        <v>409904.07001</v>
      </c>
      <c r="E22" s="431"/>
      <c r="F22" s="338"/>
      <c r="H22" s="204"/>
      <c r="K22" s="162"/>
    </row>
    <row r="23" spans="2:11" s="65" customFormat="1" ht="16.5" customHeight="1">
      <c r="B23" s="334" t="s">
        <v>178</v>
      </c>
      <c r="C23" s="369">
        <v>101573.6517</v>
      </c>
      <c r="D23" s="369">
        <f t="shared" si="0"/>
        <v>381104.34118</v>
      </c>
      <c r="E23" s="431"/>
      <c r="F23" s="338"/>
      <c r="G23" s="280"/>
      <c r="H23" s="204"/>
      <c r="K23" s="162"/>
    </row>
    <row r="24" spans="2:11" s="65" customFormat="1" ht="16.5" customHeight="1" hidden="1">
      <c r="B24" s="334" t="s">
        <v>229</v>
      </c>
      <c r="C24" s="369"/>
      <c r="D24" s="369">
        <f t="shared" si="0"/>
        <v>0</v>
      </c>
      <c r="E24" s="431"/>
      <c r="F24" s="338"/>
      <c r="G24" s="280"/>
      <c r="H24" s="204"/>
      <c r="K24" s="162"/>
    </row>
    <row r="25" spans="2:11" s="65" customFormat="1" ht="16.5" customHeight="1">
      <c r="B25" s="334" t="s">
        <v>181</v>
      </c>
      <c r="C25" s="369">
        <v>1388.32596</v>
      </c>
      <c r="D25" s="369">
        <f t="shared" si="0"/>
        <v>5208.999</v>
      </c>
      <c r="E25" s="431"/>
      <c r="F25" s="338"/>
      <c r="G25" s="203"/>
      <c r="H25" s="203"/>
      <c r="K25" s="162"/>
    </row>
    <row r="26" spans="2:11" s="65" customFormat="1" ht="16.5" customHeight="1" hidden="1">
      <c r="B26" s="334" t="s">
        <v>179</v>
      </c>
      <c r="C26" s="369">
        <v>0</v>
      </c>
      <c r="D26" s="369">
        <f t="shared" si="0"/>
        <v>0</v>
      </c>
      <c r="F26" s="338"/>
      <c r="G26" s="203"/>
      <c r="H26" s="203"/>
      <c r="I26" s="203"/>
      <c r="K26" s="162"/>
    </row>
    <row r="27" spans="2:8" s="65" customFormat="1" ht="15" customHeight="1">
      <c r="B27" s="66"/>
      <c r="C27" s="369"/>
      <c r="D27" s="369"/>
      <c r="G27" s="218"/>
      <c r="H27" s="218"/>
    </row>
    <row r="28" spans="2:8" s="65" customFormat="1" ht="16.5" customHeight="1">
      <c r="B28" s="341" t="s">
        <v>88</v>
      </c>
      <c r="C28" s="368">
        <f>+C30+C39</f>
        <v>4007099.0120800007</v>
      </c>
      <c r="D28" s="368">
        <f>+D30+D39</f>
        <v>15034635.49332872</v>
      </c>
      <c r="F28" s="339"/>
      <c r="G28" s="203"/>
      <c r="H28" s="203"/>
    </row>
    <row r="29" spans="2:4" s="65" customFormat="1" ht="9.75" customHeight="1">
      <c r="B29" s="63"/>
      <c r="C29" s="453"/>
      <c r="D29" s="453"/>
    </row>
    <row r="30" spans="2:8" s="65" customFormat="1" ht="16.5" customHeight="1">
      <c r="B30" s="342" t="s">
        <v>33</v>
      </c>
      <c r="C30" s="368">
        <f>SUM(C31:C37)</f>
        <v>3086522.7136100004</v>
      </c>
      <c r="D30" s="368">
        <f>SUM(D31:D37)</f>
        <v>11580633.22147</v>
      </c>
      <c r="E30" s="483"/>
      <c r="F30" s="444"/>
      <c r="H30" s="204"/>
    </row>
    <row r="31" spans="2:8" s="65" customFormat="1" ht="16.5" customHeight="1">
      <c r="B31" s="334" t="s">
        <v>212</v>
      </c>
      <c r="C31" s="369">
        <v>1766548</v>
      </c>
      <c r="D31" s="369">
        <f aca="true" t="shared" si="1" ref="D31:D37">ROUND(+C31*$E$9,5)</f>
        <v>6628088.096</v>
      </c>
      <c r="E31" s="483"/>
      <c r="F31" s="444"/>
      <c r="H31" s="204"/>
    </row>
    <row r="32" spans="2:8" s="65" customFormat="1" ht="16.5" customHeight="1">
      <c r="B32" s="334" t="s">
        <v>240</v>
      </c>
      <c r="C32" s="369">
        <v>587001.59915</v>
      </c>
      <c r="D32" s="369">
        <f t="shared" si="1"/>
        <v>2202430.00001</v>
      </c>
      <c r="E32" s="483"/>
      <c r="F32" s="444"/>
      <c r="H32" s="204"/>
    </row>
    <row r="33" spans="2:8" s="65" customFormat="1" ht="16.5" customHeight="1">
      <c r="B33" s="334" t="s">
        <v>225</v>
      </c>
      <c r="C33" s="369">
        <v>312020.16389</v>
      </c>
      <c r="D33" s="369">
        <f t="shared" si="1"/>
        <v>1170699.65492</v>
      </c>
      <c r="E33" s="483"/>
      <c r="F33" s="444"/>
      <c r="H33" s="204"/>
    </row>
    <row r="34" spans="2:8" s="65" customFormat="1" ht="16.5" customHeight="1">
      <c r="B34" s="334" t="s">
        <v>176</v>
      </c>
      <c r="C34" s="369">
        <v>217284.11518</v>
      </c>
      <c r="D34" s="369">
        <f t="shared" si="1"/>
        <v>815250.00016</v>
      </c>
      <c r="E34" s="483"/>
      <c r="F34" s="444"/>
      <c r="H34" s="204"/>
    </row>
    <row r="35" spans="2:8" s="65" customFormat="1" ht="16.5" customHeight="1">
      <c r="B35" s="334" t="s">
        <v>258</v>
      </c>
      <c r="C35" s="369">
        <v>163113.0064</v>
      </c>
      <c r="D35" s="369">
        <f t="shared" si="1"/>
        <v>612000.00001</v>
      </c>
      <c r="E35" s="483"/>
      <c r="F35" s="444"/>
      <c r="H35" s="204"/>
    </row>
    <row r="36" spans="2:8" s="65" customFormat="1" ht="16.5" customHeight="1">
      <c r="B36" s="334" t="s">
        <v>226</v>
      </c>
      <c r="C36" s="369">
        <v>38076.924</v>
      </c>
      <c r="D36" s="369">
        <f t="shared" si="1"/>
        <v>142864.61885</v>
      </c>
      <c r="E36" s="483"/>
      <c r="F36" s="444"/>
      <c r="H36" s="204"/>
    </row>
    <row r="37" spans="2:8" s="65" customFormat="1" ht="16.5" customHeight="1">
      <c r="B37" s="334" t="s">
        <v>175</v>
      </c>
      <c r="C37" s="369">
        <v>2478.90499</v>
      </c>
      <c r="D37" s="369">
        <f t="shared" si="1"/>
        <v>9300.85152</v>
      </c>
      <c r="E37" s="483"/>
      <c r="F37" s="444"/>
      <c r="H37" s="204"/>
    </row>
    <row r="38" spans="2:8" s="65" customFormat="1" ht="12" customHeight="1">
      <c r="B38" s="64"/>
      <c r="C38" s="369"/>
      <c r="D38" s="369"/>
      <c r="H38" s="204"/>
    </row>
    <row r="39" spans="2:8" s="65" customFormat="1" ht="16.5" customHeight="1">
      <c r="B39" s="342" t="s">
        <v>34</v>
      </c>
      <c r="C39" s="368">
        <f>SUM(C40:C46)</f>
        <v>920576.29847</v>
      </c>
      <c r="D39" s="368">
        <f>SUM(D40:D46)</f>
        <v>3454002.2718587196</v>
      </c>
      <c r="E39" s="483"/>
      <c r="F39" s="484"/>
      <c r="H39" s="204"/>
    </row>
    <row r="40" spans="2:8" s="65" customFormat="1" ht="16.5" customHeight="1">
      <c r="B40" s="334" t="s">
        <v>215</v>
      </c>
      <c r="C40" s="369">
        <v>496187.47868</v>
      </c>
      <c r="D40" s="369">
        <f>ROUND(+C40*$E$9,5)</f>
        <v>1861695.42001</v>
      </c>
      <c r="E40" s="483"/>
      <c r="F40" s="339"/>
      <c r="H40" s="204"/>
    </row>
    <row r="41" spans="2:8" s="65" customFormat="1" ht="16.5" customHeight="1">
      <c r="B41" s="334" t="s">
        <v>177</v>
      </c>
      <c r="C41" s="369">
        <v>381987.80793</v>
      </c>
      <c r="D41" s="369">
        <f>ROUND(+C41*$E$9,5)</f>
        <v>1433218.25535</v>
      </c>
      <c r="E41" s="483"/>
      <c r="F41" s="473"/>
      <c r="H41" s="204"/>
    </row>
    <row r="42" spans="2:8" s="65" customFormat="1" ht="16.5" customHeight="1">
      <c r="B42" s="334" t="s">
        <v>214</v>
      </c>
      <c r="C42" s="369">
        <v>29550.72246</v>
      </c>
      <c r="D42" s="369">
        <f>ROUND(+C42*$E$9,8)</f>
        <v>110874.31066992</v>
      </c>
      <c r="E42" s="483"/>
      <c r="F42" s="427"/>
      <c r="H42" s="204"/>
    </row>
    <row r="43" spans="2:8" s="65" customFormat="1" ht="16.5" customHeight="1" hidden="1">
      <c r="B43" s="334" t="s">
        <v>183</v>
      </c>
      <c r="C43" s="527">
        <v>0</v>
      </c>
      <c r="D43" s="369">
        <f>ROUND(+C43*$E$9,8)</f>
        <v>0</v>
      </c>
      <c r="E43" s="483"/>
      <c r="F43" s="427"/>
      <c r="H43" s="204"/>
    </row>
    <row r="44" spans="2:8" s="65" customFormat="1" ht="16.5" customHeight="1">
      <c r="B44" s="334" t="s">
        <v>204</v>
      </c>
      <c r="C44" s="369">
        <v>10051.78194</v>
      </c>
      <c r="D44" s="369">
        <f>ROUND(+C44*$E$9,8)</f>
        <v>37714.28583888</v>
      </c>
      <c r="E44" s="483"/>
      <c r="F44" s="427"/>
      <c r="H44" s="204"/>
    </row>
    <row r="45" spans="2:8" s="65" customFormat="1" ht="16.5" customHeight="1">
      <c r="B45" s="334" t="s">
        <v>154</v>
      </c>
      <c r="C45" s="369">
        <v>2798.50746</v>
      </c>
      <c r="D45" s="369">
        <f>ROUND(+C45*$E$9,8)</f>
        <v>10499.99998992</v>
      </c>
      <c r="E45" s="483"/>
      <c r="F45" s="427"/>
      <c r="H45" s="204"/>
    </row>
    <row r="46" spans="2:8" s="65" customFormat="1" ht="16.5" customHeight="1" hidden="1">
      <c r="B46" s="334" t="s">
        <v>180</v>
      </c>
      <c r="C46" s="369">
        <v>0</v>
      </c>
      <c r="D46" s="369">
        <f>ROUND(+C46*$E$9,8)</f>
        <v>0</v>
      </c>
      <c r="E46" s="367"/>
      <c r="F46" s="427"/>
      <c r="H46" s="204"/>
    </row>
    <row r="47" spans="2:8" s="65" customFormat="1" ht="9" customHeight="1">
      <c r="B47" s="64"/>
      <c r="C47" s="369"/>
      <c r="D47" s="369"/>
      <c r="H47" s="204"/>
    </row>
    <row r="48" spans="2:8" s="65" customFormat="1" ht="15" customHeight="1">
      <c r="B48" s="621" t="s">
        <v>60</v>
      </c>
      <c r="C48" s="623">
        <f>+C28+C14</f>
        <v>8550116.76593</v>
      </c>
      <c r="D48" s="623">
        <f>+D28+D14</f>
        <v>32080038.105768718</v>
      </c>
      <c r="F48" s="339"/>
      <c r="H48" s="204"/>
    </row>
    <row r="49" spans="2:8" s="80" customFormat="1" ht="15" customHeight="1">
      <c r="B49" s="622"/>
      <c r="C49" s="624"/>
      <c r="D49" s="624"/>
      <c r="H49" s="204"/>
    </row>
    <row r="50" spans="2:8" s="80" customFormat="1" ht="7.5" customHeight="1">
      <c r="B50" s="103"/>
      <c r="C50" s="104"/>
      <c r="D50" s="104"/>
      <c r="H50" s="204"/>
    </row>
    <row r="51" spans="2:4" ht="14.25" customHeight="1">
      <c r="B51" s="84" t="s">
        <v>237</v>
      </c>
      <c r="C51" s="528"/>
      <c r="D51" s="84"/>
    </row>
    <row r="52" spans="2:4" ht="14.25" customHeight="1">
      <c r="B52" s="84" t="s">
        <v>216</v>
      </c>
      <c r="C52" s="441"/>
      <c r="D52" s="84"/>
    </row>
    <row r="53" spans="2:5" ht="14.25" customHeight="1">
      <c r="B53" s="529" t="s">
        <v>257</v>
      </c>
      <c r="C53" s="84"/>
      <c r="D53" s="166"/>
      <c r="E53" s="188"/>
    </row>
    <row r="54" spans="2:5" ht="14.25" customHeight="1">
      <c r="B54" s="84" t="s">
        <v>261</v>
      </c>
      <c r="C54" s="84"/>
      <c r="D54" s="84"/>
      <c r="E54" s="188"/>
    </row>
    <row r="55" spans="2:5" ht="12.75">
      <c r="B55" s="524"/>
      <c r="C55" s="188"/>
      <c r="D55" s="188"/>
      <c r="E55" s="188"/>
    </row>
    <row r="56" spans="2:5" ht="12.75">
      <c r="B56" s="84"/>
      <c r="C56" s="188"/>
      <c r="D56" s="188"/>
      <c r="E56" s="188"/>
    </row>
    <row r="57" spans="3:5" ht="12.75">
      <c r="C57" s="188"/>
      <c r="D57" s="188"/>
      <c r="E57" s="188"/>
    </row>
    <row r="58" spans="2:4" s="133" customFormat="1" ht="18">
      <c r="B58" s="127" t="s">
        <v>116</v>
      </c>
      <c r="C58" s="127"/>
      <c r="D58" s="127"/>
    </row>
    <row r="59" spans="2:4" ht="18">
      <c r="B59" s="309" t="s">
        <v>133</v>
      </c>
      <c r="C59" s="309"/>
      <c r="D59" s="309"/>
    </row>
    <row r="60" spans="2:4" ht="18">
      <c r="B60" s="309" t="s">
        <v>134</v>
      </c>
      <c r="C60" s="309"/>
      <c r="D60" s="309"/>
    </row>
    <row r="61" spans="2:4" ht="16.5">
      <c r="B61" s="333" t="s">
        <v>32</v>
      </c>
      <c r="C61" s="181"/>
      <c r="D61" s="181"/>
    </row>
    <row r="62" spans="2:4" s="133" customFormat="1" ht="18">
      <c r="B62" s="131" t="str">
        <f>+B9</f>
        <v>Al 30 de abril de 2024</v>
      </c>
      <c r="C62" s="131"/>
      <c r="D62" s="246"/>
    </row>
    <row r="63" spans="2:4" ht="9.75" customHeight="1">
      <c r="B63" s="629"/>
      <c r="C63" s="629"/>
      <c r="D63" s="629"/>
    </row>
    <row r="64" spans="2:4" ht="16.5" customHeight="1">
      <c r="B64" s="625" t="s">
        <v>93</v>
      </c>
      <c r="C64" s="627" t="s">
        <v>85</v>
      </c>
      <c r="D64" s="617" t="s">
        <v>207</v>
      </c>
    </row>
    <row r="65" spans="2:4" ht="16.5" customHeight="1">
      <c r="B65" s="626"/>
      <c r="C65" s="628"/>
      <c r="D65" s="618"/>
    </row>
    <row r="66" spans="2:4" s="80" customFormat="1" ht="9.75" customHeight="1">
      <c r="B66" s="249"/>
      <c r="C66" s="102"/>
      <c r="D66" s="102"/>
    </row>
    <row r="67" spans="2:6" s="65" customFormat="1" ht="16.5" customHeight="1">
      <c r="B67" s="341" t="s">
        <v>87</v>
      </c>
      <c r="C67" s="368">
        <f>+C69+C78</f>
        <v>941856.45855</v>
      </c>
      <c r="D67" s="368">
        <f>+D69+D78</f>
        <v>3533845.4324796004</v>
      </c>
      <c r="F67" s="339"/>
    </row>
    <row r="68" spans="2:8" s="65" customFormat="1" ht="9.75" customHeight="1">
      <c r="B68" s="64"/>
      <c r="C68" s="369"/>
      <c r="D68" s="369"/>
      <c r="H68" s="204"/>
    </row>
    <row r="69" spans="2:8" s="65" customFormat="1" ht="16.5" customHeight="1">
      <c r="B69" s="342" t="s">
        <v>33</v>
      </c>
      <c r="C69" s="368">
        <f>SUM(C70:C76)</f>
        <v>508201.74553</v>
      </c>
      <c r="D69" s="368">
        <f>SUM(D70:D76)</f>
        <v>1906772.94922856</v>
      </c>
      <c r="F69" s="339"/>
      <c r="G69" s="205"/>
      <c r="H69" s="205"/>
    </row>
    <row r="70" spans="2:8" s="65" customFormat="1" ht="16.5" customHeight="1">
      <c r="B70" s="334" t="s">
        <v>262</v>
      </c>
      <c r="C70" s="369">
        <v>269201.74553</v>
      </c>
      <c r="D70" s="369">
        <f aca="true" t="shared" si="2" ref="D70:D76">ROUND(+C70*$E$9,8)</f>
        <v>1010044.94922856</v>
      </c>
      <c r="F70" s="339"/>
      <c r="G70" s="205"/>
      <c r="H70" s="205"/>
    </row>
    <row r="71" spans="2:8" s="65" customFormat="1" ht="16.5" customHeight="1">
      <c r="B71" s="334" t="s">
        <v>250</v>
      </c>
      <c r="C71" s="369">
        <v>150000</v>
      </c>
      <c r="D71" s="369">
        <f t="shared" si="2"/>
        <v>562800</v>
      </c>
      <c r="F71" s="339"/>
      <c r="G71" s="205"/>
      <c r="H71" s="205"/>
    </row>
    <row r="72" spans="2:8" s="65" customFormat="1" ht="16.5" customHeight="1">
      <c r="B72" s="334" t="s">
        <v>245</v>
      </c>
      <c r="C72" s="369">
        <v>59000</v>
      </c>
      <c r="D72" s="369">
        <f t="shared" si="2"/>
        <v>221368</v>
      </c>
      <c r="F72" s="339"/>
      <c r="G72" s="205"/>
      <c r="H72" s="205"/>
    </row>
    <row r="73" spans="2:8" s="65" customFormat="1" ht="16.5" customHeight="1" hidden="1">
      <c r="B73" s="334" t="s">
        <v>240</v>
      </c>
      <c r="C73" s="369">
        <v>0</v>
      </c>
      <c r="D73" s="369">
        <f t="shared" si="2"/>
        <v>0</v>
      </c>
      <c r="F73" s="339"/>
      <c r="G73" s="205"/>
      <c r="H73" s="205"/>
    </row>
    <row r="74" spans="2:8" s="65" customFormat="1" ht="16.5" customHeight="1" hidden="1">
      <c r="B74" s="334" t="s">
        <v>249</v>
      </c>
      <c r="C74" s="527">
        <v>0</v>
      </c>
      <c r="D74" s="369">
        <f t="shared" si="2"/>
        <v>0</v>
      </c>
      <c r="F74" s="339"/>
      <c r="G74" s="205"/>
      <c r="H74" s="205"/>
    </row>
    <row r="75" spans="2:8" s="65" customFormat="1" ht="16.5" customHeight="1">
      <c r="B75" s="334" t="s">
        <v>251</v>
      </c>
      <c r="C75" s="369">
        <v>20000</v>
      </c>
      <c r="D75" s="369">
        <f t="shared" si="2"/>
        <v>75040</v>
      </c>
      <c r="F75" s="339"/>
      <c r="G75" s="205"/>
      <c r="H75" s="205"/>
    </row>
    <row r="76" spans="2:8" s="65" customFormat="1" ht="16.5" customHeight="1">
      <c r="B76" s="334" t="s">
        <v>252</v>
      </c>
      <c r="C76" s="369">
        <v>10000</v>
      </c>
      <c r="D76" s="369">
        <f t="shared" si="2"/>
        <v>37520</v>
      </c>
      <c r="F76" s="339"/>
      <c r="G76" s="205"/>
      <c r="H76" s="205"/>
    </row>
    <row r="77" spans="2:4" s="65" customFormat="1" ht="9.75" customHeight="1">
      <c r="B77" s="63"/>
      <c r="C77" s="453"/>
      <c r="D77" s="453"/>
    </row>
    <row r="78" spans="2:8" s="65" customFormat="1" ht="16.5" customHeight="1">
      <c r="B78" s="342" t="s">
        <v>34</v>
      </c>
      <c r="C78" s="368">
        <f>SUM(C79:C85)</f>
        <v>433654.71301999997</v>
      </c>
      <c r="D78" s="368">
        <f>SUM(D79:D85)</f>
        <v>1627072.48325104</v>
      </c>
      <c r="H78" s="204"/>
    </row>
    <row r="79" spans="2:8" s="65" customFormat="1" ht="16.5" customHeight="1">
      <c r="B79" s="334" t="s">
        <v>182</v>
      </c>
      <c r="C79" s="369">
        <v>192595.06023</v>
      </c>
      <c r="D79" s="369">
        <f aca="true" t="shared" si="3" ref="D79:D85">ROUND(+C79*$E$9,8)</f>
        <v>722616.66598296</v>
      </c>
      <c r="H79" s="204"/>
    </row>
    <row r="80" spans="2:8" s="65" customFormat="1" ht="16.5" customHeight="1">
      <c r="B80" s="334" t="s">
        <v>154</v>
      </c>
      <c r="C80" s="369">
        <v>109004.75842</v>
      </c>
      <c r="D80" s="369">
        <f t="shared" si="3"/>
        <v>408985.85359184</v>
      </c>
      <c r="H80" s="204"/>
    </row>
    <row r="81" spans="2:8" s="65" customFormat="1" ht="16.5" customHeight="1">
      <c r="B81" s="334" t="s">
        <v>181</v>
      </c>
      <c r="C81" s="369">
        <v>93407.96001</v>
      </c>
      <c r="D81" s="369">
        <f t="shared" si="3"/>
        <v>350466.66595752</v>
      </c>
      <c r="H81" s="204"/>
    </row>
    <row r="82" spans="2:8" s="65" customFormat="1" ht="16.5" customHeight="1">
      <c r="B82" s="334" t="s">
        <v>183</v>
      </c>
      <c r="C82" s="369">
        <v>22199.13693</v>
      </c>
      <c r="D82" s="369">
        <f t="shared" si="3"/>
        <v>83291.16176136</v>
      </c>
      <c r="H82" s="204"/>
    </row>
    <row r="83" spans="2:8" s="65" customFormat="1" ht="16.5" customHeight="1" hidden="1">
      <c r="B83" s="334" t="s">
        <v>248</v>
      </c>
      <c r="C83" s="369">
        <v>0</v>
      </c>
      <c r="D83" s="369">
        <f t="shared" si="3"/>
        <v>0</v>
      </c>
      <c r="H83" s="204"/>
    </row>
    <row r="84" spans="2:8" s="65" customFormat="1" ht="16.5" customHeight="1">
      <c r="B84" s="334" t="s">
        <v>253</v>
      </c>
      <c r="C84" s="369">
        <v>11194.02985</v>
      </c>
      <c r="D84" s="510">
        <f t="shared" si="3"/>
        <v>41999.9999972</v>
      </c>
      <c r="H84" s="204"/>
    </row>
    <row r="85" spans="2:8" s="65" customFormat="1" ht="16.5" customHeight="1">
      <c r="B85" s="334" t="s">
        <v>180</v>
      </c>
      <c r="C85" s="369">
        <v>5253.76758</v>
      </c>
      <c r="D85" s="369">
        <f t="shared" si="3"/>
        <v>19712.13596016</v>
      </c>
      <c r="H85" s="204"/>
    </row>
    <row r="86" spans="2:8" s="65" customFormat="1" ht="12" customHeight="1">
      <c r="B86" s="334"/>
      <c r="C86" s="369"/>
      <c r="D86" s="369"/>
      <c r="H86" s="204"/>
    </row>
    <row r="87" spans="2:8" s="65" customFormat="1" ht="16.5" customHeight="1">
      <c r="B87" s="341" t="s">
        <v>88</v>
      </c>
      <c r="C87" s="368">
        <f>+C89+C91</f>
        <v>53304.90405</v>
      </c>
      <c r="D87" s="368">
        <f>+D89+D91</f>
        <v>199999.9999956</v>
      </c>
      <c r="H87" s="204"/>
    </row>
    <row r="88" spans="2:8" s="65" customFormat="1" ht="9.75" customHeight="1">
      <c r="B88" s="475"/>
      <c r="C88" s="102"/>
      <c r="D88" s="102"/>
      <c r="H88" s="204"/>
    </row>
    <row r="89" spans="2:8" s="65" customFormat="1" ht="16.5" customHeight="1" hidden="1">
      <c r="B89" s="342" t="s">
        <v>33</v>
      </c>
      <c r="C89" s="368">
        <v>0</v>
      </c>
      <c r="D89" s="368">
        <v>0</v>
      </c>
      <c r="H89" s="204"/>
    </row>
    <row r="90" spans="2:8" s="65" customFormat="1" ht="9.75" customHeight="1" hidden="1">
      <c r="B90" s="475"/>
      <c r="C90" s="102"/>
      <c r="D90" s="102"/>
      <c r="H90" s="204"/>
    </row>
    <row r="91" spans="2:8" s="65" customFormat="1" ht="16.5" customHeight="1">
      <c r="B91" s="342" t="s">
        <v>34</v>
      </c>
      <c r="C91" s="368">
        <f>SUM(C92:C93)</f>
        <v>53304.90405</v>
      </c>
      <c r="D91" s="368">
        <f>SUM(D92:D93)</f>
        <v>199999.9999956</v>
      </c>
      <c r="H91" s="204"/>
    </row>
    <row r="92" spans="2:8" s="65" customFormat="1" ht="16.5" customHeight="1">
      <c r="B92" s="334" t="s">
        <v>183</v>
      </c>
      <c r="C92" s="369">
        <v>53304.90405</v>
      </c>
      <c r="D92" s="369">
        <f>ROUND(+C92*$E$9,8)</f>
        <v>199999.9999956</v>
      </c>
      <c r="H92" s="204"/>
    </row>
    <row r="93" spans="2:8" s="65" customFormat="1" ht="16.5" customHeight="1" hidden="1">
      <c r="B93" s="334" t="s">
        <v>154</v>
      </c>
      <c r="C93" s="369">
        <v>0</v>
      </c>
      <c r="D93" s="369">
        <f>ROUND(+C93*$E$9,8)</f>
        <v>0</v>
      </c>
      <c r="H93" s="204"/>
    </row>
    <row r="94" spans="2:8" s="65" customFormat="1" ht="9" customHeight="1">
      <c r="B94" s="64"/>
      <c r="C94" s="369"/>
      <c r="D94" s="369"/>
      <c r="H94" s="204"/>
    </row>
    <row r="95" spans="2:8" s="65" customFormat="1" ht="15" customHeight="1">
      <c r="B95" s="630" t="s">
        <v>60</v>
      </c>
      <c r="C95" s="623">
        <f>+C67+C87</f>
        <v>995161.3626</v>
      </c>
      <c r="D95" s="623">
        <f>+D67+D87</f>
        <v>3733845.4324752004</v>
      </c>
      <c r="F95" s="339"/>
      <c r="H95" s="204"/>
    </row>
    <row r="96" spans="2:8" s="80" customFormat="1" ht="15" customHeight="1">
      <c r="B96" s="631"/>
      <c r="C96" s="624"/>
      <c r="D96" s="624"/>
      <c r="F96" s="211"/>
      <c r="H96" s="204"/>
    </row>
    <row r="97" ht="12.75">
      <c r="C97" s="188"/>
    </row>
    <row r="98" spans="3:4" ht="12.75">
      <c r="C98" s="100"/>
      <c r="D98" s="279"/>
    </row>
    <row r="99" spans="3:4" ht="12.75">
      <c r="C99" s="281"/>
      <c r="D99" s="281"/>
    </row>
    <row r="100" ht="12.75">
      <c r="C100" s="418"/>
    </row>
    <row r="101" ht="12.75">
      <c r="C101" s="418"/>
    </row>
    <row r="102" ht="12.75">
      <c r="C102" s="418"/>
    </row>
    <row r="103" ht="12.75">
      <c r="C103" s="418"/>
    </row>
    <row r="104" ht="12.75">
      <c r="C104" s="418"/>
    </row>
    <row r="105" ht="12.75">
      <c r="C105" s="418"/>
    </row>
    <row r="106" ht="12.75">
      <c r="C106" s="418"/>
    </row>
  </sheetData>
  <sheetProtection/>
  <mergeCells count="14">
    <mergeCell ref="D64:D65"/>
    <mergeCell ref="B11:B12"/>
    <mergeCell ref="D48:D49"/>
    <mergeCell ref="C11:C12"/>
    <mergeCell ref="B10:D10"/>
    <mergeCell ref="B95:B96"/>
    <mergeCell ref="C95:C96"/>
    <mergeCell ref="D95:D96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2.00390625" style="85" customWidth="1"/>
    <col min="3" max="4" width="19.7109375" style="85" customWidth="1"/>
    <col min="5" max="5" width="15.7109375" style="85" customWidth="1"/>
    <col min="6" max="6" width="16.28125" style="85" customWidth="1"/>
    <col min="7" max="7" width="17.8515625" style="85" bestFit="1" customWidth="1"/>
    <col min="8" max="8" width="15.7109375" style="212" customWidth="1"/>
    <col min="9" max="9" width="11.421875" style="85" customWidth="1"/>
    <col min="10" max="10" width="17.8515625" style="85" bestFit="1" customWidth="1"/>
    <col min="11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1.25" customHeight="1">
      <c r="B4" s="101"/>
    </row>
    <row r="5" spans="2:9" ht="18">
      <c r="B5" s="127" t="s">
        <v>89</v>
      </c>
      <c r="C5" s="127"/>
      <c r="D5" s="127"/>
      <c r="I5" s="269"/>
    </row>
    <row r="6" spans="2:9" ht="18">
      <c r="B6" s="309" t="s">
        <v>133</v>
      </c>
      <c r="C6" s="309"/>
      <c r="D6" s="309"/>
      <c r="I6" s="279"/>
    </row>
    <row r="7" spans="2:4" ht="18">
      <c r="B7" s="309" t="s">
        <v>132</v>
      </c>
      <c r="C7" s="309"/>
      <c r="D7" s="309"/>
    </row>
    <row r="8" spans="2:4" ht="16.5">
      <c r="B8" s="333" t="s">
        <v>1</v>
      </c>
      <c r="C8" s="181"/>
      <c r="D8" s="181"/>
    </row>
    <row r="9" spans="2:5" ht="15.75">
      <c r="B9" s="131" t="str">
        <f>+'DEP-C2'!B9</f>
        <v>Al 30 de abril de 2024</v>
      </c>
      <c r="C9" s="131"/>
      <c r="D9" s="258"/>
      <c r="E9" s="308">
        <f>+Portada!H39</f>
        <v>3.752</v>
      </c>
    </row>
    <row r="10" spans="2:4" ht="9.75" customHeight="1">
      <c r="B10" s="629"/>
      <c r="C10" s="629"/>
      <c r="D10" s="629"/>
    </row>
    <row r="11" spans="2:4" ht="16.5" customHeight="1">
      <c r="B11" s="615" t="s">
        <v>147</v>
      </c>
      <c r="C11" s="617" t="s">
        <v>85</v>
      </c>
      <c r="D11" s="636" t="s">
        <v>161</v>
      </c>
    </row>
    <row r="12" spans="2:8" s="80" customFormat="1" ht="16.5" customHeight="1">
      <c r="B12" s="616"/>
      <c r="C12" s="618"/>
      <c r="D12" s="637"/>
      <c r="H12" s="202"/>
    </row>
    <row r="13" spans="2:8" s="80" customFormat="1" ht="9.75" customHeight="1">
      <c r="B13" s="247"/>
      <c r="C13" s="479"/>
      <c r="D13" s="135"/>
      <c r="H13" s="202"/>
    </row>
    <row r="14" spans="2:9" s="65" customFormat="1" ht="16.5" customHeight="1">
      <c r="B14" s="352" t="s">
        <v>0</v>
      </c>
      <c r="C14" s="480">
        <f>SUM(C15:C16)</f>
        <v>4487599.52869</v>
      </c>
      <c r="D14" s="452">
        <f>SUM(D15:D16)</f>
        <v>16837473.43164492</v>
      </c>
      <c r="E14" s="213"/>
      <c r="F14" s="339"/>
      <c r="G14" s="282"/>
      <c r="H14" s="282"/>
      <c r="I14" s="282"/>
    </row>
    <row r="15" spans="2:8" s="65" customFormat="1" ht="16.5" customHeight="1">
      <c r="B15" s="69" t="s">
        <v>24</v>
      </c>
      <c r="C15" s="481">
        <v>480500.51661</v>
      </c>
      <c r="D15" s="451">
        <f>ROUND(+C15*$E$9,8)</f>
        <v>1802837.93832072</v>
      </c>
      <c r="E15" s="439"/>
      <c r="F15" s="338"/>
      <c r="G15" s="343"/>
      <c r="H15" s="282"/>
    </row>
    <row r="16" spans="2:8" s="65" customFormat="1" ht="16.5" customHeight="1">
      <c r="B16" s="69" t="s">
        <v>25</v>
      </c>
      <c r="C16" s="481">
        <v>4007099.01208</v>
      </c>
      <c r="D16" s="451">
        <f>ROUND(+C16*$E$9,8)</f>
        <v>15034635.4933242</v>
      </c>
      <c r="E16" s="439"/>
      <c r="F16" s="338"/>
      <c r="G16" s="282"/>
      <c r="H16" s="282"/>
    </row>
    <row r="17" spans="2:8" s="65" customFormat="1" ht="12" customHeight="1">
      <c r="B17" s="69"/>
      <c r="C17" s="481"/>
      <c r="D17" s="451"/>
      <c r="E17" s="438"/>
      <c r="H17" s="206"/>
    </row>
    <row r="18" spans="2:8" s="65" customFormat="1" ht="16.5" customHeight="1">
      <c r="B18" s="352" t="s">
        <v>184</v>
      </c>
      <c r="C18" s="480">
        <f>SUM(C19:C19)</f>
        <v>51406.12616</v>
      </c>
      <c r="D18" s="452">
        <f>SUM(D19:D19)</f>
        <v>192875.78535232</v>
      </c>
      <c r="E18" s="438"/>
      <c r="F18" s="339"/>
      <c r="G18" s="283"/>
      <c r="H18" s="283"/>
    </row>
    <row r="19" spans="2:8" s="65" customFormat="1" ht="16.5" customHeight="1">
      <c r="B19" s="69" t="s">
        <v>24</v>
      </c>
      <c r="C19" s="481">
        <v>51406.12616</v>
      </c>
      <c r="D19" s="451">
        <f>ROUND(+C19*$E$9,8)</f>
        <v>192875.78535232</v>
      </c>
      <c r="E19" s="439"/>
      <c r="F19" s="338"/>
      <c r="H19" s="206"/>
    </row>
    <row r="20" spans="2:8" s="65" customFormat="1" ht="11.25" customHeight="1">
      <c r="B20" s="69"/>
      <c r="C20" s="481"/>
      <c r="D20" s="451"/>
      <c r="E20" s="438"/>
      <c r="H20" s="206"/>
    </row>
    <row r="21" spans="2:8" s="65" customFormat="1" ht="16.5" customHeight="1">
      <c r="B21" s="352" t="s">
        <v>185</v>
      </c>
      <c r="C21" s="480">
        <f>+C22</f>
        <v>4011111.11108</v>
      </c>
      <c r="D21" s="452">
        <f>+D22</f>
        <v>15049688.8887722</v>
      </c>
      <c r="E21" s="438"/>
      <c r="F21" s="339"/>
      <c r="H21" s="206"/>
    </row>
    <row r="22" spans="2:8" s="65" customFormat="1" ht="16.5" customHeight="1">
      <c r="B22" s="69" t="s">
        <v>24</v>
      </c>
      <c r="C22" s="481">
        <v>4011111.11108</v>
      </c>
      <c r="D22" s="451">
        <f>ROUND(+C22*$E$9,8)</f>
        <v>15049688.8887722</v>
      </c>
      <c r="E22" s="439"/>
      <c r="F22" s="338"/>
      <c r="H22" s="206"/>
    </row>
    <row r="23" spans="2:8" s="65" customFormat="1" ht="9.75" customHeight="1">
      <c r="B23" s="68"/>
      <c r="C23" s="482"/>
      <c r="D23" s="450"/>
      <c r="F23" s="338"/>
      <c r="H23" s="206"/>
    </row>
    <row r="24" spans="2:8" s="65" customFormat="1" ht="15" customHeight="1">
      <c r="B24" s="621" t="s">
        <v>60</v>
      </c>
      <c r="C24" s="634">
        <f>+C18+C14+C21</f>
        <v>8550116.76593</v>
      </c>
      <c r="D24" s="632">
        <f>+D18+D14+D21</f>
        <v>32080038.10576944</v>
      </c>
      <c r="F24" s="339"/>
      <c r="H24" s="206"/>
    </row>
    <row r="25" spans="2:8" s="80" customFormat="1" ht="15" customHeight="1">
      <c r="B25" s="622"/>
      <c r="C25" s="635"/>
      <c r="D25" s="633"/>
      <c r="H25" s="202"/>
    </row>
    <row r="26" spans="2:8" s="80" customFormat="1" ht="7.5" customHeight="1">
      <c r="B26" s="244"/>
      <c r="C26" s="136"/>
      <c r="D26" s="136"/>
      <c r="H26" s="202"/>
    </row>
    <row r="27" spans="2:8" s="65" customFormat="1" ht="17.25" customHeight="1">
      <c r="B27" s="436" t="s">
        <v>186</v>
      </c>
      <c r="C27" s="486"/>
      <c r="D27" s="436"/>
      <c r="H27" s="206"/>
    </row>
    <row r="28" spans="2:8" s="65" customFormat="1" ht="17.25" customHeight="1">
      <c r="B28" s="436" t="s">
        <v>187</v>
      </c>
      <c r="C28" s="486"/>
      <c r="D28" s="436"/>
      <c r="H28" s="206"/>
    </row>
    <row r="29" spans="3:4" ht="12.75">
      <c r="C29" s="239"/>
      <c r="D29" s="239"/>
    </row>
    <row r="30" ht="12.75">
      <c r="C30" s="284"/>
    </row>
    <row r="32" spans="3:4" ht="12.75">
      <c r="C32" s="129"/>
      <c r="D32" s="129"/>
    </row>
    <row r="33" spans="2:8" s="133" customFormat="1" ht="18">
      <c r="B33" s="127" t="s">
        <v>117</v>
      </c>
      <c r="C33" s="127"/>
      <c r="D33" s="127"/>
      <c r="H33" s="214"/>
    </row>
    <row r="34" spans="2:8" s="133" customFormat="1" ht="18">
      <c r="B34" s="309" t="s">
        <v>133</v>
      </c>
      <c r="C34" s="309"/>
      <c r="D34" s="309"/>
      <c r="H34" s="214"/>
    </row>
    <row r="35" spans="2:8" s="133" customFormat="1" ht="18">
      <c r="B35" s="309" t="s">
        <v>134</v>
      </c>
      <c r="C35" s="309"/>
      <c r="D35" s="309"/>
      <c r="H35" s="214"/>
    </row>
    <row r="36" spans="2:8" s="133" customFormat="1" ht="18">
      <c r="B36" s="333" t="s">
        <v>1</v>
      </c>
      <c r="C36" s="181"/>
      <c r="D36" s="181"/>
      <c r="H36" s="214"/>
    </row>
    <row r="37" spans="2:8" s="133" customFormat="1" ht="18">
      <c r="B37" s="131" t="str">
        <f>+B9</f>
        <v>Al 30 de abril de 2024</v>
      </c>
      <c r="C37" s="131"/>
      <c r="D37" s="246"/>
      <c r="H37" s="214"/>
    </row>
    <row r="38" spans="2:4" ht="9.75" customHeight="1">
      <c r="B38" s="629"/>
      <c r="C38" s="629"/>
      <c r="D38" s="629"/>
    </row>
    <row r="39" spans="2:4" ht="16.5" customHeight="1">
      <c r="B39" s="615" t="s">
        <v>147</v>
      </c>
      <c r="C39" s="617" t="s">
        <v>85</v>
      </c>
      <c r="D39" s="617" t="s">
        <v>161</v>
      </c>
    </row>
    <row r="40" spans="2:8" s="80" customFormat="1" ht="16.5" customHeight="1">
      <c r="B40" s="616"/>
      <c r="C40" s="618"/>
      <c r="D40" s="618"/>
      <c r="H40" s="202"/>
    </row>
    <row r="41" spans="2:8" s="80" customFormat="1" ht="9.75" customHeight="1">
      <c r="B41" s="247"/>
      <c r="C41" s="253"/>
      <c r="D41" s="137"/>
      <c r="H41" s="202"/>
    </row>
    <row r="42" spans="2:8" s="65" customFormat="1" ht="16.5" customHeight="1">
      <c r="B42" s="352" t="s">
        <v>0</v>
      </c>
      <c r="C42" s="368">
        <f>SUM(C43:C44)</f>
        <v>486959.61707000004</v>
      </c>
      <c r="D42" s="452">
        <f>SUM(D43:D44)</f>
        <v>1827072.48324664</v>
      </c>
      <c r="E42" s="213"/>
      <c r="H42" s="206"/>
    </row>
    <row r="43" spans="2:8" s="65" customFormat="1" ht="16.5" customHeight="1">
      <c r="B43" s="69" t="s">
        <v>24</v>
      </c>
      <c r="C43" s="369">
        <v>433654.71302</v>
      </c>
      <c r="D43" s="451">
        <f>ROUND(+C43*$E$9,8)</f>
        <v>1627072.48325104</v>
      </c>
      <c r="E43" s="213"/>
      <c r="F43" s="351"/>
      <c r="H43" s="206"/>
    </row>
    <row r="44" spans="2:8" s="65" customFormat="1" ht="16.5" customHeight="1">
      <c r="B44" s="69" t="s">
        <v>25</v>
      </c>
      <c r="C44" s="369">
        <v>53304.90405</v>
      </c>
      <c r="D44" s="451">
        <f>ROUND(+C44*$E$9,8)</f>
        <v>199999.9999956</v>
      </c>
      <c r="E44" s="213"/>
      <c r="F44" s="351"/>
      <c r="H44" s="206"/>
    </row>
    <row r="45" spans="2:8" s="65" customFormat="1" ht="12" customHeight="1">
      <c r="B45" s="69"/>
      <c r="C45" s="369"/>
      <c r="D45" s="451"/>
      <c r="E45" s="213"/>
      <c r="H45" s="206"/>
    </row>
    <row r="46" spans="2:8" s="65" customFormat="1" ht="16.5" customHeight="1">
      <c r="B46" s="352" t="s">
        <v>156</v>
      </c>
      <c r="C46" s="368">
        <f>+C47</f>
        <v>508201.74553</v>
      </c>
      <c r="D46" s="452">
        <f>+D47</f>
        <v>1906772.94922856</v>
      </c>
      <c r="E46" s="215"/>
      <c r="F46" s="107"/>
      <c r="H46" s="206"/>
    </row>
    <row r="47" spans="2:8" s="65" customFormat="1" ht="16.5" customHeight="1">
      <c r="B47" s="69" t="s">
        <v>24</v>
      </c>
      <c r="C47" s="369">
        <v>508201.74553</v>
      </c>
      <c r="D47" s="451">
        <f>ROUND(+C47*$E$9,8)</f>
        <v>1906772.94922856</v>
      </c>
      <c r="E47" s="215"/>
      <c r="F47" s="343"/>
      <c r="H47" s="206"/>
    </row>
    <row r="48" spans="2:8" s="65" customFormat="1" ht="9.75" customHeight="1">
      <c r="B48" s="68"/>
      <c r="C48" s="376"/>
      <c r="D48" s="450"/>
      <c r="H48" s="206"/>
    </row>
    <row r="49" spans="2:8" s="65" customFormat="1" ht="15" customHeight="1">
      <c r="B49" s="621" t="s">
        <v>60</v>
      </c>
      <c r="C49" s="623">
        <f>+C42+C46</f>
        <v>995161.3626000001</v>
      </c>
      <c r="D49" s="632">
        <f>+D42+D46</f>
        <v>3733845.4324752</v>
      </c>
      <c r="H49" s="206"/>
    </row>
    <row r="50" spans="2:8" s="80" customFormat="1" ht="15" customHeight="1">
      <c r="B50" s="622"/>
      <c r="C50" s="624"/>
      <c r="D50" s="633"/>
      <c r="H50" s="202"/>
    </row>
    <row r="51" ht="4.5" customHeight="1"/>
    <row r="52" spans="3:4" ht="12.75">
      <c r="C52" s="418"/>
      <c r="D52" s="239"/>
    </row>
    <row r="53" ht="12.75">
      <c r="C53" s="165"/>
    </row>
    <row r="56" ht="12.75">
      <c r="C56" s="165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2024-06-09T19:22:23Z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