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'DGRGL-C3'!$B$1:$E$50</definedName>
    <definedName name="_xlnm.Print_Area" localSheetId="7">'DGRGL-C4'!$B$1:$E$66</definedName>
    <definedName name="_xlnm.Print_Area" localSheetId="8">'DGRGL-C5'!$B$1:$D$120</definedName>
    <definedName name="_xlnm.Print_Area" localSheetId="9">'DGRGL-C6'!$A$1:$D$270</definedName>
    <definedName name="_xlnm.Print_Area" localSheetId="10">'DGRGL-C7'!$B$5:$N$41</definedName>
    <definedName name="_xlnm.Print_Area" localSheetId="1">'Portada'!$B$1:$H$36</definedName>
    <definedName name="_xlnm.Print_Area" localSheetId="2">'Resumen'!$G$18:$J$32</definedName>
    <definedName name="_xlnm.Print_Area" localSheetId="3">'Resumen-Gráficos'!$A$1:$O$53</definedName>
    <definedName name="Nueox">#REF!</definedName>
    <definedName name="nuevo">'DGRGL-C7'!$B$52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<sst xmlns="http://schemas.openxmlformats.org/spreadsheetml/2006/main" count="646" uniqueCount="424">
  <si>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</si>
  <si>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</si>
  <si>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</si>
  <si>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</si>
  <si>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</si>
  <si>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</si>
  <si>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</si>
  <si>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</si>
  <si>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</si>
  <si>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</si>
  <si>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</si>
  <si>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</si>
  <si>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</si>
  <si>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</si>
  <si>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</si>
  <si>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</si>
  <si>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</si>
  <si>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</si>
  <si>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</si>
  <si>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</si>
  <si>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</si>
  <si>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</si>
  <si>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</si>
  <si>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</si>
  <si>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</si>
  <si>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</si>
  <si>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</si>
  <si>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</si>
  <si>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</si>
  <si>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</si>
  <si>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</si>
  <si>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</si>
  <si>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</si>
  <si>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</si>
  <si>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</si>
  <si>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</si>
  <si>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</si>
  <si>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</si>
  <si>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</si>
  <si>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</si>
  <si>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</si>
  <si>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</si>
  <si>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</si>
  <si>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</si>
  <si>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</si>
  <si>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</si>
  <si>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</si>
  <si>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</si>
  <si>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</si>
  <si>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</si>
  <si>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</si>
  <si>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</si>
  <si>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</si>
  <si>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</si>
  <si>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</si>
  <si>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</si>
  <si>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</si>
  <si>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</si>
  <si>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</si>
  <si>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</si>
  <si>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</si>
  <si>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</si>
  <si>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</si>
  <si>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</si>
  <si>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</si>
  <si>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</si>
  <si>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</si>
  <si>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</si>
  <si>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</si>
  <si>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</si>
  <si>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</si>
  <si>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</si>
  <si>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</si>
  <si>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</si>
  <si>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</si>
  <si>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</si>
  <si>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</si>
  <si>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</si>
  <si>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</si>
  <si>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</si>
  <si>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</si>
  <si>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</si>
  <si>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</si>
  <si>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</si>
  <si>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</si>
  <si>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</si>
  <si>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</si>
  <si>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</si>
  <si>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</si>
  <si>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</si>
  <si>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</si>
  <si>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</si>
  <si>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</si>
  <si>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</si>
  <si>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</si>
  <si>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</si>
  <si>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</si>
  <si>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</si>
  <si>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</si>
  <si>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</si>
  <si>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</si>
  <si>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</si>
  <si>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</si>
  <si>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</si>
  <si>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</si>
  <si>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</si>
  <si>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</si>
  <si>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</si>
  <si>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</si>
  <si>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</si>
  <si>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</si>
  <si>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</si>
  <si>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</si>
  <si>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</si>
  <si>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</si>
  <si>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</si>
  <si>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</si>
  <si>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</si>
  <si>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</si>
  <si>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</si>
  <si>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</si>
  <si>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</si>
  <si>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</si>
  <si>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</si>
  <si>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</si>
  <si>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</si>
  <si>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</si>
  <si>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</si>
  <si>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</si>
  <si>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</si>
  <si>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</si>
  <si>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</si>
  <si>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</si>
  <si>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</si>
  <si>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</si>
  <si>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</si>
  <si>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</si>
  <si>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</si>
  <si>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</si>
  <si>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</si>
  <si>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</si>
  <si>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</si>
  <si>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</si>
  <si>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</si>
  <si>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</si>
  <si>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</si>
  <si>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</si>
  <si>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</si>
  <si>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</si>
  <si>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</si>
  <si>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</si>
  <si>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</si>
  <si>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</si>
  <si>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</si>
  <si>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</si>
  <si>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</si>
  <si>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</si>
  <si>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</si>
  <si>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</si>
  <si>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</si>
  <si>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</si>
  <si>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</si>
  <si>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</si>
  <si>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</si>
  <si>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 xml:space="preserve"> 1/ Incluye Traspaso de Recursos, FONAVI, CIPRL</t>
  </si>
  <si>
    <t>Municipalidad Provincial de Lima</t>
  </si>
  <si>
    <t>Municipalidad Distrital de San Luis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</si>
  <si>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</si>
  <si>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</si>
  <si>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</si>
  <si>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</si>
  <si>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</si>
  <si>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</si>
  <si>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Santiago</t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</si>
  <si>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</si>
  <si>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</si>
  <si>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</si>
  <si>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</si>
  <si>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</si>
  <si>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</si>
  <si>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</si>
  <si>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</si>
  <si>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Nuevo Imperial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</si>
  <si>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</si>
  <si>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</si>
  <si>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</si>
  <si>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</si>
  <si>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</si>
  <si>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</si>
  <si>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</si>
  <si>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</si>
  <si>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Lacabamba</t>
  </si>
  <si>
    <r>
      <t xml:space="preserve">MEF (Pago de Prestamos)   </t>
    </r>
  </si>
  <si>
    <t>Municipalidad Distrital de Campoverde</t>
  </si>
  <si>
    <t>Municipalidad Distrital de Huariaca</t>
  </si>
  <si>
    <t>Municipalidad Distrital de Vargas Guerra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</si>
  <si>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</si>
  <si>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</si>
  <si>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</si>
  <si>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</si>
  <si>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Ticllos</t>
  </si>
  <si>
    <t>Municipalidad Distrital de Pias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</si>
  <si>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</si>
  <si>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</si>
  <si>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</si>
  <si>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</si>
  <si>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</si>
  <si>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</si>
  <si>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</si>
  <si>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</si>
  <si>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</si>
  <si>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</si>
  <si>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</si>
  <si>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</si>
  <si>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</si>
  <si>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</si>
  <si>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</si>
  <si>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</si>
  <si>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</si>
  <si>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</si>
  <si>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</si>
  <si>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</si>
  <si>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</si>
  <si>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</si>
  <si>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</si>
  <si>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</si>
  <si>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</si>
  <si>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</si>
  <si>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</si>
  <si>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</si>
  <si>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</si>
  <si>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</si>
  <si>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</si>
  <si>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</si>
  <si>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</si>
  <si>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</si>
  <si>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</si>
  <si>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</si>
  <si>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</si>
  <si>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</si>
  <si>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</si>
  <si>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</si>
  <si>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Gobierno Regional del Callao</t>
  </si>
  <si>
    <t>Gobierno Regional de Junín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</si>
  <si>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</si>
  <si>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</si>
  <si>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</si>
  <si>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</si>
  <si>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</si>
  <si>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Provincial de Cajamarca</t>
  </si>
  <si>
    <t>Municipalidad Distrital de La Unión</t>
  </si>
  <si>
    <t>Municipalidad Distrital de Pueblo Nuevo</t>
  </si>
  <si>
    <t>Banco Scotiabank</t>
  </si>
  <si>
    <t>BBVA Banco de Continental</t>
  </si>
  <si>
    <t>Municipalidad Distrital de los Baños del Inca</t>
  </si>
  <si>
    <t>Municipalidad Provincial de Acobamba</t>
  </si>
  <si>
    <t>Municipalidad Distrital de Coronel Gregorio Albarracín Lanchipa</t>
  </si>
  <si>
    <t>Municipalidad Distrital de Belén</t>
  </si>
  <si>
    <t>Municipalidad Distrital de Grocio Prado</t>
  </si>
  <si>
    <t>Gobierno Regional de Lima Provincias</t>
  </si>
  <si>
    <t>Municipalidad Distrital de San Juan Bautista</t>
  </si>
  <si>
    <t>Municipalidad Distrital de Salas</t>
  </si>
  <si>
    <t>Municipalidad Distrital de Pacanga</t>
  </si>
  <si>
    <t>Universidad Nacional San Luis Gonzaga</t>
  </si>
  <si>
    <t>Municipalidad Distrital de Livitaca</t>
  </si>
  <si>
    <t>Municipalidad Distrital de San Pedro de Chana</t>
  </si>
  <si>
    <t>Municipalidad Distrital de Constitución</t>
  </si>
  <si>
    <t>Municipalidad Distrital de Cachachi</t>
  </si>
  <si>
    <t>Municipalidad Distrital de Cajacay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</si>
  <si>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</si>
  <si>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</si>
  <si>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</si>
  <si>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</si>
  <si>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Distrital de Cachicadan</t>
  </si>
  <si>
    <t>Municipalidad Distrital de Paucarpata</t>
  </si>
  <si>
    <t>Municipalidad Distrital de Ventanilla</t>
  </si>
  <si>
    <t>Municipalidad Distrital de Dean Valdivia</t>
  </si>
  <si>
    <t>Municipalidad Distrital de El Tambo</t>
  </si>
  <si>
    <t>Gobierno Regional de Huancavelica</t>
  </si>
  <si>
    <t>Municipalidad Distrital de Cotaruse</t>
  </si>
  <si>
    <t>Municipalidad Distrital de Villa Rica</t>
  </si>
  <si>
    <t>Municipalidad Distrital de Tumbaden</t>
  </si>
  <si>
    <t>Municipalidad Distrital de Lajas</t>
  </si>
  <si>
    <t>2022</t>
  </si>
  <si>
    <t>Municipalidad Distrital de Velille</t>
  </si>
  <si>
    <t>Municipalidad Provincial de Santa - Chimbote</t>
  </si>
  <si>
    <t>Municipalidad Distrital de Querecotillo</t>
  </si>
  <si>
    <t>Municipalidad Provincial de Paucartambo</t>
  </si>
  <si>
    <t>Municipalidad Distrital de la Joya</t>
  </si>
  <si>
    <t>Municipalidad Provincial de Ica</t>
  </si>
  <si>
    <t>Municipalidad Distrital de Pacocha</t>
  </si>
  <si>
    <t>Municipalidad Distrital de El Porvenir</t>
  </si>
  <si>
    <t>Municipalidad Provincial de Angaraes - Lircay</t>
  </si>
  <si>
    <t>Municipalidad Provincial de Huanuco</t>
  </si>
  <si>
    <t>Municipalidad Provincial de Huamanga</t>
  </si>
  <si>
    <t>Municipalidad Distrital de Punchana</t>
  </si>
  <si>
    <t>Municipalidad Distrital de Victor Larco Herrera</t>
  </si>
  <si>
    <t>Municipalidad Distrital de San Pablo</t>
  </si>
  <si>
    <t>Municipalidad Provincial de Tocache</t>
  </si>
  <si>
    <t>Municipalidad Distrital de Pucara</t>
  </si>
  <si>
    <t>Municipalidad Distrital de Pangoa</t>
  </si>
  <si>
    <t>Municipalidad Provincial de Pataz - Tayabamba</t>
  </si>
  <si>
    <t>Municipalidad Provincial de Piura</t>
  </si>
  <si>
    <t>Municipalidad Provincial de San Marcos - Pedro Galvez</t>
  </si>
  <si>
    <t>Municipalidad Distrital de Tournavista</t>
  </si>
  <si>
    <t>Municipalidad Distrital de Morropon</t>
  </si>
  <si>
    <t>Municipalidad Distrital de Lonya Grande</t>
  </si>
  <si>
    <t>Municipalidad Distrital de Acostambo</t>
  </si>
  <si>
    <t>Municipalidad Provincial de Requena</t>
  </si>
  <si>
    <t>Municipalidad Distrital de Morcolla</t>
  </si>
  <si>
    <t>Municipalidad Provincial de Jaen</t>
  </si>
  <si>
    <t>Municipalidad Distrital de Catacaos</t>
  </si>
  <si>
    <t>Municipalidad Distrital de Mazamari</t>
  </si>
  <si>
    <t>Municipalidad Provincial de Bolivar</t>
  </si>
  <si>
    <t>Municipalidad Distrital de Santillana</t>
  </si>
  <si>
    <t>Municipalidad Distrital de José Luis Bustamante y Rivero</t>
  </si>
  <si>
    <t>Municipalidad Distrital de Huaura</t>
  </si>
  <si>
    <t>Municipalidad Distrital de Samegua</t>
  </si>
  <si>
    <t>Municipalidad Distrital de Layo</t>
  </si>
  <si>
    <t>Municipalidad Distrital de Santo Tomas</t>
  </si>
  <si>
    <t>Municipalidad Distrital de Choros</t>
  </si>
  <si>
    <t>Municipalidad Distrital de Lahuaytambo</t>
  </si>
  <si>
    <t>Municipalidad Provincial de Zarumilla</t>
  </si>
  <si>
    <t>Municipalidad Distrital de Caracoto</t>
  </si>
  <si>
    <t>Municipalidad Distrital de Sapillica</t>
  </si>
  <si>
    <t>Municipalidad Provincial del Alto Amazonas - Yurimaguas</t>
  </si>
  <si>
    <t>Municipalidad Distrital de Pacucha</t>
  </si>
  <si>
    <t>Municipalidad Distrital de Sallique</t>
  </si>
  <si>
    <t>Municipalidad Distrital de San José del Alto</t>
  </si>
  <si>
    <t>Municipalidad Distrital de Shamboyacu</t>
  </si>
  <si>
    <t>Municipalidad Distrital de las Pirias</t>
  </si>
  <si>
    <t>Municipalidad Distrital de Florida</t>
  </si>
  <si>
    <t>Municipalidad Provincial de Cajabamba</t>
  </si>
  <si>
    <t>Municipalidad Distrital de Callayuc</t>
  </si>
  <si>
    <t>Municipalidad Distrital de Llusco</t>
  </si>
  <si>
    <t>Municipalidad Distrital de Alto Pichigua</t>
  </si>
  <si>
    <t>Municipalidad Distrital de Socabaya</t>
  </si>
  <si>
    <t>Municipalidad Provincial de Chincha - Chincha Alta</t>
  </si>
  <si>
    <t>Municipalidad Distrital de Ilabaya</t>
  </si>
  <si>
    <t>Municipalidad Distrital de San Marcos</t>
  </si>
  <si>
    <t>Municipalidad Distrital de Quicacha</t>
  </si>
  <si>
    <t>Municipalidad Distrital de Chugay</t>
  </si>
  <si>
    <t>Municipalidad Distrital de Llama</t>
  </si>
  <si>
    <t>Municipalidad Distrital de Mancora</t>
  </si>
  <si>
    <t>Municipalidad Distrital de Lalaquiz</t>
  </si>
  <si>
    <t>Municipalidad Distrital de Fernando Lores</t>
  </si>
  <si>
    <t>Municipalidad Distrital de Kosñipata</t>
  </si>
  <si>
    <t>Municipalidad Provincial de Marañon - Huacrachuco</t>
  </si>
  <si>
    <t>Municipalidad Distrital de Morales</t>
  </si>
  <si>
    <t>Municipalidad Distrital de Leoncio Prado</t>
  </si>
  <si>
    <t>Municipalidad Distrital de El Alto</t>
  </si>
  <si>
    <t>Municipalidad Distrital de Pillco Marca</t>
  </si>
  <si>
    <t>Municipalidad Provincial de Sanchez Carrión - Huamachuco</t>
  </si>
  <si>
    <t>Municipalidad Distrital de San Jeronimo de Tunan</t>
  </si>
  <si>
    <t>Municipalidad Distrital de San Marcos Rocchac</t>
  </si>
  <si>
    <t>Municipalidad Provincial de Huancabamba</t>
  </si>
  <si>
    <t>Municipalidad Distrital de Honoria</t>
  </si>
  <si>
    <t>Municipalidad Distrital de Colquemarca</t>
  </si>
  <si>
    <t>Municipalidad Distrital de Mi Perú</t>
  </si>
  <si>
    <t>Municipalidad Distrital de Pucusana</t>
  </si>
  <si>
    <t>Municipalidad Distrital de El Cenepa</t>
  </si>
  <si>
    <t>Municipalidad Distrital de La Banda de Shilcayo</t>
  </si>
  <si>
    <t>Municipalidad Distrital de Aramango</t>
  </si>
  <si>
    <t>Municipalidad Distrital de Socos</t>
  </si>
  <si>
    <t>Municipalidad Distrital de Anta</t>
  </si>
  <si>
    <t>Municipalidad Distrital de Chirinos</t>
  </si>
  <si>
    <t>Municipalidad Distrital de Churubamba</t>
  </si>
  <si>
    <t>Municipalidad Distrital de Cospan</t>
  </si>
  <si>
    <t>Municipalidad Distrital de San Martin</t>
  </si>
  <si>
    <t>Municipalidad Distrital de Huaccana</t>
  </si>
  <si>
    <t>Municipalidad Distrital de La Matanza</t>
  </si>
  <si>
    <t>Municipalidad Distrital de Sivia</t>
  </si>
  <si>
    <t>Municipalidad Distrital de Santa Rosa</t>
  </si>
  <si>
    <t>Municipalidad Distrital de Santiago de Pupuja</t>
  </si>
  <si>
    <t>Municipalidad Distrital de Cochorco</t>
  </si>
  <si>
    <t>Municipalidad Distrital de Suyckutambo</t>
  </si>
  <si>
    <t>Municipalidad Distrital de La Perla</t>
  </si>
  <si>
    <t>2023</t>
  </si>
  <si>
    <r>
      <t xml:space="preserve"> CRÉDITOS  </t>
    </r>
    <r>
      <rPr>
        <b/>
        <sz val="8"/>
        <rFont val="Arial"/>
        <family val="2"/>
      </rPr>
      <t xml:space="preserve"> 2/</t>
    </r>
  </si>
  <si>
    <t xml:space="preserve"> 2/  Incluye deuda externa contratada por el Gobierno Nacional y trasladada a los Gobiernos </t>
  </si>
  <si>
    <r>
      <t xml:space="preserve"> BONOS   </t>
    </r>
    <r>
      <rPr>
        <b/>
        <sz val="8"/>
        <rFont val="Arial"/>
        <family val="2"/>
      </rPr>
      <t>1/</t>
    </r>
  </si>
  <si>
    <t xml:space="preserve"> 1/  Bonos de la Municipalidad Metropolitana de Lima.</t>
  </si>
  <si>
    <r>
      <t xml:space="preserve">MEF  </t>
    </r>
    <r>
      <rPr>
        <b/>
        <sz val="8"/>
        <rFont val="Arial"/>
        <family val="2"/>
      </rPr>
      <t xml:space="preserve"> 4/   </t>
    </r>
  </si>
  <si>
    <t xml:space="preserve"> 4/  Deuda entre sectores interinstitucionales.</t>
  </si>
  <si>
    <t xml:space="preserve"> 3/  Bonos de la Municipalidad Metropolitana de Lima.</t>
  </si>
  <si>
    <r>
      <t xml:space="preserve">Bonistas    </t>
    </r>
    <r>
      <rPr>
        <b/>
        <sz val="8"/>
        <rFont val="Arial"/>
        <family val="2"/>
      </rPr>
      <t>3/</t>
    </r>
  </si>
  <si>
    <t>Municipalidad Distrital de Chinchaypujio</t>
  </si>
  <si>
    <t>Municipalidad Distrital de Talavera</t>
  </si>
  <si>
    <t>Municipalidad Distrital de Tinyahuarco</t>
  </si>
  <si>
    <t>Municipalidad Distrital de Sangarara</t>
  </si>
  <si>
    <t>Municipalidad Distrital de Ccapi</t>
  </si>
  <si>
    <t>Municipalidad Distrital de Codo de Pozuzo</t>
  </si>
  <si>
    <t>Municipalidad Distrital de Huachocolpa</t>
  </si>
  <si>
    <t>Municipalidad Distrital de Caminaca</t>
  </si>
  <si>
    <t>a/</t>
  </si>
  <si>
    <t>Bonistas</t>
  </si>
  <si>
    <t>Considera deuda de corto plazo y de mediano y largo plazo</t>
  </si>
  <si>
    <t>Municipalidad Distrital de Yanacancha</t>
  </si>
  <si>
    <t>Municipalidad Distrital de Soritor</t>
  </si>
  <si>
    <t>Municipalidad Distrital de Yura</t>
  </si>
  <si>
    <t>Municipalidad Distrital de Islay</t>
  </si>
  <si>
    <t>Municipalidad Distrital de Sunampe</t>
  </si>
  <si>
    <t>Municipalidad Distrital de Pulan</t>
  </si>
  <si>
    <t>Municipalidad Provincial de Lamas</t>
  </si>
  <si>
    <t>AL 30 DE ABRIL DE 2024</t>
  </si>
  <si>
    <t>Al 30 de abril de 2024</t>
  </si>
  <si>
    <t>SERVICIO ANUAL - POR TIPO DE DEUDA - PERÍODO: DESDE MAYO 2024 AL 2040</t>
  </si>
  <si>
    <t>Municipalidad Provincial del Cuzco</t>
  </si>
  <si>
    <t>Municipalidad Distrital de Tiabaya</t>
  </si>
  <si>
    <t>Municipalidad Distrital de Hualmay</t>
  </si>
  <si>
    <t>Municipalidad Distrital de Mariano Nicolas Valcarcel</t>
  </si>
  <si>
    <t>Municipalidad Distrital de Pampamarca</t>
  </si>
  <si>
    <t xml:space="preserve">      con deuda menor a US$ 104 mil, se agrupan en "Otros" e incluye a 21 entidades.</t>
  </si>
  <si>
    <t>Municipalidad Distrital de Yanatile</t>
  </si>
  <si>
    <t>Municipalidad Distrital de Colquepata</t>
  </si>
  <si>
    <t>Municipalidad Distrital de Iparia</t>
  </si>
  <si>
    <t>Municipalidad Distrital de Huamancaca Chico</t>
  </si>
  <si>
    <t>Municipalidad Distrital de Pucayacu</t>
  </si>
  <si>
    <t>Municipalidad Distrital de Llochegua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</si>
  <si>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US$ 101 mil, se agrupa en "Otros" e incluye a 48 entidades.</t>
    </r>
  </si>
  <si>
    <t>Período: Desde mayo 2024 al 2043</t>
  </si>
  <si>
    <t xml:space="preserve">          - Tipo de Cambio del 30 de abril de 2024. </t>
  </si>
  <si>
    <t xml:space="preserve"> a/  Servicio proyectado a partir del mes de mayo de 2024.</t>
  </si>
  <si>
    <t>Abr 2024</t>
  </si>
</sst>
</file>

<file path=xl/styles.xml><?xml version="1.0" encoding="utf-8"?>
<styleSheet xmlns="http://schemas.openxmlformats.org/spreadsheetml/2006/main">
  <numFmts count="7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 * #,##0_ ;_ * \-#,##0_ ;_ * &quot;-&quot;_ ;_ @_ "/>
    <numFmt numFmtId="171" formatCode="_ * #,##0.00_ ;_ * \-#,##0.00_ ;_ * &quot;-&quot;??_ ;_ @_ "/>
    <numFmt numFmtId="172" formatCode="_ &quot;S/.&quot;\ * #,##0_ ;_ &quot;S/.&quot;\ * \-#,##0_ ;_ &quot;S/.&quot;\ * &quot;-&quot;_ ;_ @_ "/>
    <numFmt numFmtId="173" formatCode="_ &quot;S/.&quot;\ * #,##0.00_ ;_ &quot;S/.&quot;\ * \-#,##0.00_ ;_ &quot;S/.&quot;\ * &quot;-&quot;??_ ;_ @_ "/>
    <numFmt numFmtId="174" formatCode="###,###,###,###"/>
    <numFmt numFmtId="175" formatCode="###,###,###"/>
    <numFmt numFmtId="176" formatCode="_ * #,##0.0_ ;_ * \-#,##0.0_ ;_ * &quot;-&quot;??_ ;_ @_ "/>
    <numFmt numFmtId="177" formatCode="0.0%"/>
    <numFmt numFmtId="178" formatCode="_ * #,##0_ ;_ * \-#,##0_ ;_ * &quot;-&quot;??_ ;_ @_ "/>
    <numFmt numFmtId="179" formatCode="_ * #,##0_ ;_ * \-#,##0_ ;_ * &quot;0&quot;??_ ;_ @_ "/>
    <numFmt numFmtId="180" formatCode="_([$€]\ * #,##0.00_);_([$€]\ * \(#,##0.00\);_([$€]\ * &quot;-&quot;??_);_(@_)"/>
    <numFmt numFmtId="181" formatCode="[$-280A]d&quot; de &quot;mmmm&quot; de &quot;yyyy;@"/>
    <numFmt numFmtId="182" formatCode="0.0000"/>
    <numFmt numFmtId="183" formatCode="0.000"/>
    <numFmt numFmtId="184" formatCode="0.0"/>
    <numFmt numFmtId="185" formatCode="#,##0.0;[Red]\-#,##0.0"/>
    <numFmt numFmtId="186" formatCode="0.00000000"/>
    <numFmt numFmtId="187" formatCode="0.0000000000"/>
    <numFmt numFmtId="188" formatCode="0.000000"/>
    <numFmt numFmtId="189" formatCode="0.00000"/>
    <numFmt numFmtId="190" formatCode="###,###,###,###.00000"/>
    <numFmt numFmtId="191" formatCode="#,##0.000000000;[Red]\-#,##0.000000000"/>
    <numFmt numFmtId="192" formatCode="#,##0.000000000000000;[Red]\-#,##0.000000000000000"/>
    <numFmt numFmtId="193" formatCode="0.0000000"/>
    <numFmt numFmtId="194" formatCode="0.000000000"/>
    <numFmt numFmtId="195" formatCode="0.00000000000"/>
    <numFmt numFmtId="196" formatCode="0.000000000000"/>
    <numFmt numFmtId="197" formatCode="###,###,###,###.000"/>
    <numFmt numFmtId="198" formatCode="#,##0.00000;[Red]\-#,##0.00000"/>
    <numFmt numFmtId="199" formatCode="#,##0.00000000;[Red]\-#,##0.00000000"/>
    <numFmt numFmtId="200" formatCode="#,##0.0000000000;[Red]\-#,##0.0000000000"/>
    <numFmt numFmtId="201" formatCode="0.00000000000000"/>
    <numFmt numFmtId="202" formatCode="#,##0.0000000;[Red]\-#,##0.0000000"/>
    <numFmt numFmtId="203" formatCode="###,###,###,###.0000000"/>
    <numFmt numFmtId="204" formatCode="_ * #,##0.0000000000_ ;_ * \-#,##0.0000000000_ ;_ * &quot;-&quot;??????????_ ;_ @_ "/>
    <numFmt numFmtId="205" formatCode="0.0000000000000"/>
    <numFmt numFmtId="206" formatCode="###,###,###,###.000000000"/>
    <numFmt numFmtId="207" formatCode="#,##0.000000;[Red]\-#,##0.000000"/>
    <numFmt numFmtId="208" formatCode="#,##0.000000000000;[Red]\-#,##0.000000000000"/>
    <numFmt numFmtId="209" formatCode="#,##0.0"/>
    <numFmt numFmtId="210" formatCode="#,##0.00000"/>
    <numFmt numFmtId="211" formatCode="#,##0.000"/>
    <numFmt numFmtId="212" formatCode="#,##0.0000000"/>
    <numFmt numFmtId="213" formatCode="#,##0.00000000"/>
    <numFmt numFmtId="214" formatCode="#,##0.000000"/>
    <numFmt numFmtId="215" formatCode="#,##0.00000_ ;[Red]\-#,##0.00000\ "/>
    <numFmt numFmtId="216" formatCode="#,##0.000000_ ;[Red]\-#,##0.000000\ "/>
    <numFmt numFmtId="217" formatCode="#,##0.0000"/>
    <numFmt numFmtId="218" formatCode="#,##0.00000000000_ ;[Red]\-#,##0.00000000000\ 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  <numFmt numFmtId="223" formatCode="#,##0.000;[Red]\-#,##0.000"/>
    <numFmt numFmtId="224" formatCode="#,##0.0000;[Red]\-#,##0.0000"/>
    <numFmt numFmtId="225" formatCode="#,##0_ ;[Red]\-#,##0\ 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5.25"/>
      <color indexed="8"/>
      <name val="Arial"/>
      <family val="0"/>
    </font>
    <font>
      <b/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3" fillId="28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77" fillId="30" borderId="0" applyNumberFormat="0" applyBorder="0" applyAlignment="0" applyProtection="0"/>
    <xf numFmtId="18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8" fillId="20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2" fillId="0" borderId="8" applyNumberFormat="0" applyFill="0" applyAlignment="0" applyProtection="0"/>
    <xf numFmtId="0" fontId="83" fillId="0" borderId="9" applyNumberFormat="0" applyFill="0" applyAlignment="0" applyProtection="0"/>
  </cellStyleXfs>
  <cellXfs count="52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74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3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21" fillId="32" borderId="0" xfId="0" applyFont="1" applyFill="1" applyBorder="1" applyAlignment="1">
      <alignment vertical="center"/>
    </xf>
    <xf numFmtId="171" fontId="21" fillId="32" borderId="0" xfId="49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4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174" fontId="5" fillId="33" borderId="14" xfId="0" applyNumberFormat="1" applyFont="1" applyFill="1" applyBorder="1" applyAlignment="1">
      <alignment horizontal="right" vertical="center" indent="3" readingOrder="1"/>
    </xf>
    <xf numFmtId="174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74" fontId="10" fillId="33" borderId="14" xfId="0" applyNumberFormat="1" applyFont="1" applyFill="1" applyBorder="1" applyAlignment="1">
      <alignment horizontal="right" vertical="center" indent="3" readingOrder="1"/>
    </xf>
    <xf numFmtId="174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74" fontId="11" fillId="33" borderId="14" xfId="0" applyNumberFormat="1" applyFont="1" applyFill="1" applyBorder="1" applyAlignment="1">
      <alignment horizontal="right" vertical="center" indent="3" readingOrder="1"/>
    </xf>
    <xf numFmtId="174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74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88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7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7" fontId="6" fillId="33" borderId="0" xfId="59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71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174" fontId="12" fillId="33" borderId="0" xfId="0" applyNumberFormat="1" applyFont="1" applyFill="1" applyAlignment="1">
      <alignment/>
    </xf>
    <xf numFmtId="0" fontId="25" fillId="33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174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4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74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74" fontId="11" fillId="33" borderId="0" xfId="0" applyNumberFormat="1" applyFont="1" applyFill="1" applyAlignment="1">
      <alignment horizontal="center"/>
    </xf>
    <xf numFmtId="174" fontId="11" fillId="33" borderId="0" xfId="0" applyNumberFormat="1" applyFont="1" applyFill="1" applyAlignment="1">
      <alignment horizontal="right" indent="4"/>
    </xf>
    <xf numFmtId="174" fontId="12" fillId="33" borderId="0" xfId="0" applyNumberFormat="1" applyFont="1" applyFill="1" applyAlignment="1">
      <alignment vertical="center"/>
    </xf>
    <xf numFmtId="174" fontId="13" fillId="33" borderId="20" xfId="49" applyNumberFormat="1" applyFont="1" applyFill="1" applyBorder="1" applyAlignment="1">
      <alignment horizontal="right" indent="1"/>
    </xf>
    <xf numFmtId="174" fontId="13" fillId="33" borderId="21" xfId="49" applyNumberFormat="1" applyFont="1" applyFill="1" applyBorder="1" applyAlignment="1">
      <alignment horizontal="right" indent="1"/>
    </xf>
    <xf numFmtId="174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4" fontId="12" fillId="33" borderId="15" xfId="0" applyNumberFormat="1" applyFont="1" applyFill="1" applyBorder="1" applyAlignment="1">
      <alignment/>
    </xf>
    <xf numFmtId="174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90" fontId="11" fillId="33" borderId="0" xfId="0" applyNumberFormat="1" applyFont="1" applyFill="1" applyAlignment="1">
      <alignment horizontal="center"/>
    </xf>
    <xf numFmtId="190" fontId="11" fillId="33" borderId="0" xfId="0" applyNumberFormat="1" applyFont="1" applyFill="1" applyAlignment="1">
      <alignment horizontal="right" indent="4"/>
    </xf>
    <xf numFmtId="188" fontId="12" fillId="33" borderId="0" xfId="0" applyNumberFormat="1" applyFont="1" applyFill="1" applyAlignment="1">
      <alignment horizontal="center"/>
    </xf>
    <xf numFmtId="174" fontId="13" fillId="33" borderId="22" xfId="0" applyNumberFormat="1" applyFont="1" applyFill="1" applyBorder="1" applyAlignment="1">
      <alignment horizontal="center" vertical="center"/>
    </xf>
    <xf numFmtId="174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74" fontId="5" fillId="33" borderId="0" xfId="49" applyNumberFormat="1" applyFont="1" applyFill="1" applyBorder="1" applyAlignment="1">
      <alignment horizontal="center"/>
    </xf>
    <xf numFmtId="174" fontId="12" fillId="33" borderId="20" xfId="0" applyNumberFormat="1" applyFont="1" applyFill="1" applyBorder="1" applyAlignment="1">
      <alignment/>
    </xf>
    <xf numFmtId="206" fontId="11" fillId="33" borderId="0" xfId="0" applyNumberFormat="1" applyFont="1" applyFill="1" applyAlignment="1">
      <alignment horizontal="center"/>
    </xf>
    <xf numFmtId="196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186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186" fontId="6" fillId="33" borderId="0" xfId="49" applyNumberFormat="1" applyFont="1" applyFill="1" applyBorder="1" applyAlignment="1">
      <alignment vertical="center"/>
    </xf>
    <xf numFmtId="195" fontId="2" fillId="33" borderId="0" xfId="49" applyNumberFormat="1" applyFont="1" applyFill="1" applyAlignment="1">
      <alignment vertical="center"/>
    </xf>
    <xf numFmtId="194" fontId="10" fillId="33" borderId="0" xfId="0" applyNumberFormat="1" applyFont="1" applyFill="1" applyBorder="1" applyAlignment="1">
      <alignment horizontal="right" vertical="center" indent="1" readingOrder="1"/>
    </xf>
    <xf numFmtId="186" fontId="11" fillId="33" borderId="0" xfId="0" applyNumberFormat="1" applyFont="1" applyFill="1" applyAlignment="1">
      <alignment horizontal="center"/>
    </xf>
    <xf numFmtId="194" fontId="11" fillId="33" borderId="0" xfId="0" applyNumberFormat="1" applyFont="1" applyFill="1" applyAlignment="1">
      <alignment horizontal="center"/>
    </xf>
    <xf numFmtId="202" fontId="11" fillId="33" borderId="0" xfId="0" applyNumberFormat="1" applyFont="1" applyFill="1" applyAlignment="1">
      <alignment horizontal="left" vertical="center"/>
    </xf>
    <xf numFmtId="200" fontId="11" fillId="33" borderId="0" xfId="0" applyNumberFormat="1" applyFont="1" applyFill="1" applyAlignment="1">
      <alignment horizontal="left" vertical="center"/>
    </xf>
    <xf numFmtId="200" fontId="11" fillId="33" borderId="0" xfId="0" applyNumberFormat="1" applyFont="1" applyFill="1" applyAlignment="1">
      <alignment horizontal="right" vertical="center"/>
    </xf>
    <xf numFmtId="198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94" fontId="2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84" fillId="33" borderId="0" xfId="0" applyFont="1" applyFill="1" applyBorder="1" applyAlignment="1">
      <alignment/>
    </xf>
    <xf numFmtId="0" fontId="84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/>
    </xf>
    <xf numFmtId="0" fontId="84" fillId="33" borderId="0" xfId="0" applyFont="1" applyFill="1" applyBorder="1" applyAlignment="1">
      <alignment horizontal="left" indent="3"/>
    </xf>
    <xf numFmtId="171" fontId="2" fillId="32" borderId="0" xfId="49" applyFont="1" applyFill="1" applyBorder="1" applyAlignment="1">
      <alignment vertical="center"/>
    </xf>
    <xf numFmtId="201" fontId="53" fillId="0" borderId="0" xfId="0" applyNumberFormat="1" applyFont="1" applyAlignment="1">
      <alignment/>
    </xf>
    <xf numFmtId="186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6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94" fontId="2" fillId="32" borderId="0" xfId="0" applyNumberFormat="1" applyFont="1" applyFill="1" applyBorder="1" applyAlignment="1">
      <alignment vertical="center"/>
    </xf>
    <xf numFmtId="177" fontId="2" fillId="33" borderId="0" xfId="59" applyNumberFormat="1" applyFont="1" applyFill="1" applyBorder="1" applyAlignment="1">
      <alignment horizontal="left" vertical="center" indent="5"/>
    </xf>
    <xf numFmtId="179" fontId="2" fillId="32" borderId="0" xfId="49" applyNumberFormat="1" applyFont="1" applyFill="1" applyBorder="1" applyAlignment="1">
      <alignment horizontal="right" vertical="center"/>
    </xf>
    <xf numFmtId="179" fontId="2" fillId="32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17" fillId="32" borderId="14" xfId="0" applyFont="1" applyFill="1" applyBorder="1" applyAlignment="1">
      <alignment horizontal="left" vertical="center" textRotation="255" readingOrder="1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74" fontId="13" fillId="33" borderId="22" xfId="0" applyNumberFormat="1" applyFont="1" applyFill="1" applyBorder="1" applyAlignment="1">
      <alignment horizontal="center" vertical="center"/>
    </xf>
    <xf numFmtId="174" fontId="13" fillId="33" borderId="20" xfId="0" applyNumberFormat="1" applyFont="1" applyFill="1" applyBorder="1" applyAlignment="1">
      <alignment horizontal="center" vertical="center"/>
    </xf>
    <xf numFmtId="194" fontId="12" fillId="33" borderId="0" xfId="0" applyNumberFormat="1" applyFont="1" applyFill="1" applyAlignment="1">
      <alignment horizontal="center"/>
    </xf>
    <xf numFmtId="189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3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93" fontId="2" fillId="32" borderId="0" xfId="0" applyNumberFormat="1" applyFont="1" applyFill="1" applyBorder="1" applyAlignment="1">
      <alignment vertical="center"/>
    </xf>
    <xf numFmtId="38" fontId="17" fillId="32" borderId="0" xfId="0" applyNumberFormat="1" applyFont="1" applyFill="1" applyAlignment="1">
      <alignment/>
    </xf>
    <xf numFmtId="191" fontId="17" fillId="32" borderId="0" xfId="0" applyNumberFormat="1" applyFont="1" applyFill="1" applyAlignment="1">
      <alignment/>
    </xf>
    <xf numFmtId="198" fontId="17" fillId="32" borderId="0" xfId="0" applyNumberFormat="1" applyFont="1" applyFill="1" applyAlignment="1">
      <alignment/>
    </xf>
    <xf numFmtId="174" fontId="10" fillId="33" borderId="0" xfId="0" applyNumberFormat="1" applyFont="1" applyFill="1" applyBorder="1" applyAlignment="1">
      <alignment horizontal="center" vertical="center" readingOrder="1"/>
    </xf>
    <xf numFmtId="0" fontId="12" fillId="33" borderId="0" xfId="0" applyNumberFormat="1" applyFont="1" applyFill="1" applyAlignment="1">
      <alignment horizontal="center"/>
    </xf>
    <xf numFmtId="0" fontId="85" fillId="33" borderId="23" xfId="0" applyFont="1" applyFill="1" applyBorder="1" applyAlignment="1">
      <alignment horizontal="left" vertical="center" indent="1"/>
    </xf>
    <xf numFmtId="193" fontId="86" fillId="33" borderId="0" xfId="49" applyNumberFormat="1" applyFont="1" applyFill="1" applyBorder="1" applyAlignment="1">
      <alignment vertical="center"/>
    </xf>
    <xf numFmtId="187" fontId="86" fillId="33" borderId="0" xfId="49" applyNumberFormat="1" applyFont="1" applyFill="1" applyBorder="1" applyAlignment="1">
      <alignment vertical="center"/>
    </xf>
    <xf numFmtId="189" fontId="86" fillId="33" borderId="0" xfId="49" applyNumberFormat="1" applyFont="1" applyFill="1" applyBorder="1" applyAlignment="1">
      <alignment vertical="center"/>
    </xf>
    <xf numFmtId="177" fontId="86" fillId="33" borderId="0" xfId="59" applyNumberFormat="1" applyFont="1" applyFill="1" applyBorder="1" applyAlignment="1">
      <alignment horizontal="center" vertical="center"/>
    </xf>
    <xf numFmtId="188" fontId="85" fillId="33" borderId="0" xfId="0" applyNumberFormat="1" applyFont="1" applyFill="1" applyBorder="1" applyAlignment="1">
      <alignment vertical="center"/>
    </xf>
    <xf numFmtId="187" fontId="85" fillId="33" borderId="0" xfId="0" applyNumberFormat="1" applyFont="1" applyFill="1" applyBorder="1" applyAlignment="1">
      <alignment vertical="center"/>
    </xf>
    <xf numFmtId="194" fontId="85" fillId="33" borderId="0" xfId="0" applyNumberFormat="1" applyFont="1" applyFill="1" applyBorder="1" applyAlignment="1">
      <alignment vertical="center"/>
    </xf>
    <xf numFmtId="0" fontId="85" fillId="33" borderId="0" xfId="0" applyFont="1" applyFill="1" applyBorder="1" applyAlignment="1">
      <alignment vertical="center"/>
    </xf>
    <xf numFmtId="193" fontId="85" fillId="32" borderId="0" xfId="0" applyNumberFormat="1" applyFont="1" applyFill="1" applyBorder="1" applyAlignment="1">
      <alignment vertical="center"/>
    </xf>
    <xf numFmtId="0" fontId="66" fillId="33" borderId="0" xfId="0" applyFont="1" applyFill="1" applyBorder="1" applyAlignment="1">
      <alignment horizontal="left"/>
    </xf>
    <xf numFmtId="185" fontId="66" fillId="33" borderId="0" xfId="0" applyNumberFormat="1" applyFont="1" applyFill="1" applyBorder="1" applyAlignment="1">
      <alignment horizontal="left"/>
    </xf>
    <xf numFmtId="207" fontId="66" fillId="33" borderId="0" xfId="0" applyNumberFormat="1" applyFont="1" applyFill="1" applyBorder="1" applyAlignment="1">
      <alignment horizontal="left"/>
    </xf>
    <xf numFmtId="38" fontId="84" fillId="33" borderId="0" xfId="49" applyNumberFormat="1" applyFont="1" applyFill="1" applyBorder="1" applyAlignment="1">
      <alignment vertical="center"/>
    </xf>
    <xf numFmtId="38" fontId="66" fillId="33" borderId="0" xfId="0" applyNumberFormat="1" applyFont="1" applyFill="1" applyBorder="1" applyAlignment="1">
      <alignment horizontal="center"/>
    </xf>
    <xf numFmtId="202" fontId="66" fillId="33" borderId="0" xfId="0" applyNumberFormat="1" applyFont="1" applyFill="1" applyBorder="1" applyAlignment="1">
      <alignment horizontal="left"/>
    </xf>
    <xf numFmtId="199" fontId="66" fillId="33" borderId="0" xfId="0" applyNumberFormat="1" applyFont="1" applyFill="1" applyAlignment="1">
      <alignment/>
    </xf>
    <xf numFmtId="0" fontId="66" fillId="32" borderId="0" xfId="0" applyFont="1" applyFill="1" applyAlignment="1">
      <alignment horizontal="left"/>
    </xf>
    <xf numFmtId="171" fontId="66" fillId="33" borderId="0" xfId="49" applyFont="1" applyFill="1" applyAlignment="1">
      <alignment/>
    </xf>
    <xf numFmtId="0" fontId="84" fillId="33" borderId="0" xfId="0" applyNumberFormat="1" applyFont="1" applyFill="1" applyAlignment="1">
      <alignment horizontal="center"/>
    </xf>
    <xf numFmtId="171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83" fontId="87" fillId="33" borderId="0" xfId="0" applyNumberFormat="1" applyFont="1" applyFill="1" applyAlignment="1">
      <alignment horizontal="center" vertical="center"/>
    </xf>
    <xf numFmtId="183" fontId="88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7" fillId="33" borderId="0" xfId="46" applyFont="1" applyFill="1" applyAlignment="1" applyProtection="1">
      <alignment vertical="center"/>
      <protection/>
    </xf>
    <xf numFmtId="174" fontId="13" fillId="33" borderId="12" xfId="0" applyNumberFormat="1" applyFont="1" applyFill="1" applyBorder="1" applyAlignment="1">
      <alignment horizontal="right" vertical="center" indent="2" readingOrder="1"/>
    </xf>
    <xf numFmtId="174" fontId="12" fillId="33" borderId="12" xfId="0" applyNumberFormat="1" applyFont="1" applyFill="1" applyBorder="1" applyAlignment="1">
      <alignment horizontal="right" vertical="center" indent="2" readingOrder="1"/>
    </xf>
    <xf numFmtId="174" fontId="10" fillId="33" borderId="13" xfId="0" applyNumberFormat="1" applyFont="1" applyFill="1" applyBorder="1" applyAlignment="1">
      <alignment horizontal="right" vertical="center" wrapText="1" indent="2" readingOrder="1"/>
    </xf>
    <xf numFmtId="174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9" fontId="2" fillId="33" borderId="0" xfId="49" applyNumberFormat="1" applyFont="1" applyFill="1" applyBorder="1" applyAlignment="1">
      <alignment vertical="center"/>
    </xf>
    <xf numFmtId="209" fontId="6" fillId="33" borderId="25" xfId="49" applyNumberFormat="1" applyFont="1" applyFill="1" applyBorder="1" applyAlignment="1">
      <alignment vertical="center"/>
    </xf>
    <xf numFmtId="209" fontId="2" fillId="33" borderId="0" xfId="49" applyNumberFormat="1" applyFont="1" applyFill="1" applyBorder="1" applyAlignment="1">
      <alignment horizontal="right" vertical="center"/>
    </xf>
    <xf numFmtId="209" fontId="6" fillId="33" borderId="25" xfId="49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89" fillId="32" borderId="0" xfId="46" applyFont="1" applyFill="1" applyAlignment="1" applyProtection="1">
      <alignment/>
      <protection/>
    </xf>
    <xf numFmtId="0" fontId="28" fillId="33" borderId="26" xfId="0" applyFont="1" applyFill="1" applyBorder="1" applyAlignment="1">
      <alignment horizontal="right" vertical="center" indent="3"/>
    </xf>
    <xf numFmtId="209" fontId="2" fillId="33" borderId="0" xfId="0" applyNumberFormat="1" applyFont="1" applyFill="1" applyBorder="1" applyAlignment="1">
      <alignment vertical="center"/>
    </xf>
    <xf numFmtId="209" fontId="6" fillId="33" borderId="25" xfId="0" applyNumberFormat="1" applyFont="1" applyFill="1" applyBorder="1" applyAlignment="1">
      <alignment vertical="center"/>
    </xf>
    <xf numFmtId="0" fontId="28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8" fillId="33" borderId="18" xfId="0" applyFont="1" applyFill="1" applyBorder="1" applyAlignment="1">
      <alignment horizontal="center" vertical="center"/>
    </xf>
    <xf numFmtId="209" fontId="2" fillId="33" borderId="25" xfId="49" applyNumberFormat="1" applyFont="1" applyFill="1" applyBorder="1" applyAlignment="1">
      <alignment vertical="center"/>
    </xf>
    <xf numFmtId="0" fontId="28" fillId="33" borderId="26" xfId="0" applyFont="1" applyFill="1" applyBorder="1" applyAlignment="1">
      <alignment horizontal="right" vertical="center" indent="2"/>
    </xf>
    <xf numFmtId="209" fontId="6" fillId="33" borderId="26" xfId="49" applyNumberFormat="1" applyFont="1" applyFill="1" applyBorder="1" applyAlignment="1">
      <alignment horizontal="right" vertical="center" indent="2"/>
    </xf>
    <xf numFmtId="209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195" fontId="79" fillId="33" borderId="0" xfId="0" applyNumberFormat="1" applyFont="1" applyFill="1" applyAlignment="1">
      <alignment/>
    </xf>
    <xf numFmtId="0" fontId="79" fillId="32" borderId="0" xfId="0" applyFont="1" applyFill="1" applyAlignment="1">
      <alignment/>
    </xf>
    <xf numFmtId="188" fontId="79" fillId="33" borderId="0" xfId="0" applyNumberFormat="1" applyFont="1" applyFill="1" applyAlignment="1">
      <alignment/>
    </xf>
    <xf numFmtId="187" fontId="79" fillId="33" borderId="0" xfId="0" applyNumberFormat="1" applyFont="1" applyFill="1" applyAlignment="1">
      <alignment/>
    </xf>
    <xf numFmtId="0" fontId="90" fillId="32" borderId="0" xfId="0" applyFont="1" applyFill="1" applyBorder="1" applyAlignment="1">
      <alignment horizontal="left" vertical="center" wrapText="1" readingOrder="1"/>
    </xf>
    <xf numFmtId="175" fontId="90" fillId="32" borderId="0" xfId="0" applyNumberFormat="1" applyFont="1" applyFill="1" applyBorder="1" applyAlignment="1">
      <alignment horizontal="left" vertical="center" wrapText="1" readingOrder="1"/>
    </xf>
    <xf numFmtId="194" fontId="90" fillId="32" borderId="0" xfId="0" applyNumberFormat="1" applyFont="1" applyFill="1" applyBorder="1" applyAlignment="1">
      <alignment horizontal="left" vertical="center" wrapText="1" readingOrder="1"/>
    </xf>
    <xf numFmtId="194" fontId="79" fillId="32" borderId="0" xfId="0" applyNumberFormat="1" applyFont="1" applyFill="1" applyAlignment="1">
      <alignment/>
    </xf>
    <xf numFmtId="0" fontId="79" fillId="33" borderId="0" xfId="0" applyFont="1" applyFill="1" applyAlignment="1">
      <alignment/>
    </xf>
    <xf numFmtId="174" fontId="79" fillId="33" borderId="0" xfId="0" applyNumberFormat="1" applyFont="1" applyFill="1" applyAlignment="1">
      <alignment/>
    </xf>
    <xf numFmtId="190" fontId="79" fillId="33" borderId="0" xfId="0" applyNumberFormat="1" applyFont="1" applyFill="1" applyAlignment="1">
      <alignment/>
    </xf>
    <xf numFmtId="194" fontId="79" fillId="33" borderId="0" xfId="0" applyNumberFormat="1" applyFont="1" applyFill="1" applyAlignment="1">
      <alignment/>
    </xf>
    <xf numFmtId="0" fontId="91" fillId="33" borderId="0" xfId="0" applyFont="1" applyFill="1" applyAlignment="1">
      <alignment vertical="center"/>
    </xf>
    <xf numFmtId="191" fontId="92" fillId="33" borderId="0" xfId="49" applyNumberFormat="1" applyFont="1" applyFill="1" applyBorder="1" applyAlignment="1">
      <alignment vertical="center"/>
    </xf>
    <xf numFmtId="0" fontId="93" fillId="33" borderId="0" xfId="0" applyFont="1" applyFill="1" applyAlignment="1">
      <alignment/>
    </xf>
    <xf numFmtId="0" fontId="92" fillId="33" borderId="0" xfId="0" applyFont="1" applyFill="1" applyAlignment="1">
      <alignment/>
    </xf>
    <xf numFmtId="191" fontId="92" fillId="33" borderId="0" xfId="0" applyNumberFormat="1" applyFont="1" applyFill="1" applyAlignment="1">
      <alignment/>
    </xf>
    <xf numFmtId="208" fontId="92" fillId="33" borderId="0" xfId="0" applyNumberFormat="1" applyFont="1" applyFill="1" applyAlignment="1">
      <alignment/>
    </xf>
    <xf numFmtId="199" fontId="92" fillId="33" borderId="0" xfId="0" applyNumberFormat="1" applyFont="1" applyFill="1" applyAlignment="1">
      <alignment/>
    </xf>
    <xf numFmtId="186" fontId="92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97" fontId="90" fillId="33" borderId="0" xfId="0" applyNumberFormat="1" applyFont="1" applyFill="1" applyAlignment="1">
      <alignment horizontal="center"/>
    </xf>
    <xf numFmtId="1" fontId="90" fillId="33" borderId="0" xfId="0" applyNumberFormat="1" applyFont="1" applyFill="1" applyAlignment="1">
      <alignment horizontal="center"/>
    </xf>
    <xf numFmtId="188" fontId="90" fillId="33" borderId="0" xfId="0" applyNumberFormat="1" applyFont="1" applyFill="1" applyAlignment="1">
      <alignment horizontal="center"/>
    </xf>
    <xf numFmtId="193" fontId="90" fillId="33" borderId="0" xfId="0" applyNumberFormat="1" applyFont="1" applyFill="1" applyAlignment="1">
      <alignment horizontal="center"/>
    </xf>
    <xf numFmtId="174" fontId="90" fillId="33" borderId="0" xfId="0" applyNumberFormat="1" applyFont="1" applyFill="1" applyAlignment="1">
      <alignment horizontal="center"/>
    </xf>
    <xf numFmtId="174" fontId="90" fillId="33" borderId="0" xfId="0" applyNumberFormat="1" applyFont="1" applyFill="1" applyAlignment="1">
      <alignment/>
    </xf>
    <xf numFmtId="187" fontId="90" fillId="33" borderId="0" xfId="0" applyNumberFormat="1" applyFont="1" applyFill="1" applyAlignment="1">
      <alignment horizontal="center"/>
    </xf>
    <xf numFmtId="190" fontId="90" fillId="33" borderId="0" xfId="0" applyNumberFormat="1" applyFont="1" applyFill="1" applyAlignment="1">
      <alignment horizontal="center"/>
    </xf>
    <xf numFmtId="0" fontId="92" fillId="33" borderId="0" xfId="0" applyNumberFormat="1" applyFont="1" applyFill="1" applyAlignment="1">
      <alignment horizontal="center"/>
    </xf>
    <xf numFmtId="174" fontId="90" fillId="33" borderId="0" xfId="0" applyNumberFormat="1" applyFont="1" applyFill="1" applyAlignment="1">
      <alignment horizontal="right" indent="4"/>
    </xf>
    <xf numFmtId="174" fontId="92" fillId="33" borderId="0" xfId="0" applyNumberFormat="1" applyFont="1" applyFill="1" applyAlignment="1">
      <alignment horizontal="center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8" fontId="79" fillId="33" borderId="0" xfId="0" applyNumberFormat="1" applyFont="1" applyFill="1" applyAlignment="1">
      <alignment/>
    </xf>
    <xf numFmtId="177" fontId="2" fillId="33" borderId="26" xfId="59" applyNumberFormat="1" applyFont="1" applyFill="1" applyBorder="1" applyAlignment="1">
      <alignment horizontal="right" vertical="center" indent="2"/>
    </xf>
    <xf numFmtId="177" fontId="6" fillId="33" borderId="28" xfId="59" applyNumberFormat="1" applyFont="1" applyFill="1" applyBorder="1" applyAlignment="1">
      <alignment horizontal="right" vertical="center" indent="2"/>
    </xf>
    <xf numFmtId="177" fontId="2" fillId="33" borderId="26" xfId="0" applyNumberFormat="1" applyFont="1" applyFill="1" applyBorder="1" applyAlignment="1">
      <alignment horizontal="right" vertical="center" indent="2"/>
    </xf>
    <xf numFmtId="177" fontId="6" fillId="33" borderId="28" xfId="0" applyNumberFormat="1" applyFont="1" applyFill="1" applyBorder="1" applyAlignment="1">
      <alignment horizontal="right" vertical="center" indent="2"/>
    </xf>
    <xf numFmtId="171" fontId="79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10" fontId="17" fillId="32" borderId="0" xfId="0" applyNumberFormat="1" applyFont="1" applyFill="1" applyAlignment="1">
      <alignment/>
    </xf>
    <xf numFmtId="0" fontId="29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3" fontId="79" fillId="33" borderId="0" xfId="0" applyNumberFormat="1" applyFont="1" applyFill="1" applyAlignment="1">
      <alignment/>
    </xf>
    <xf numFmtId="212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8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202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9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94" fontId="11" fillId="33" borderId="0" xfId="0" applyNumberFormat="1" applyFont="1" applyFill="1" applyBorder="1" applyAlignment="1">
      <alignment horizontal="right" vertical="center" indent="1" readingOrder="1"/>
    </xf>
    <xf numFmtId="209" fontId="21" fillId="32" borderId="0" xfId="0" applyNumberFormat="1" applyFont="1" applyFill="1" applyBorder="1" applyAlignment="1">
      <alignment vertical="center"/>
    </xf>
    <xf numFmtId="194" fontId="86" fillId="33" borderId="0" xfId="49" applyNumberFormat="1" applyFont="1" applyFill="1" applyBorder="1" applyAlignment="1">
      <alignment vertical="center"/>
    </xf>
    <xf numFmtId="214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13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9" fontId="6" fillId="33" borderId="0" xfId="49" applyNumberFormat="1" applyFont="1" applyFill="1" applyBorder="1" applyAlignment="1">
      <alignment vertical="center"/>
    </xf>
    <xf numFmtId="177" fontId="6" fillId="33" borderId="0" xfId="59" applyNumberFormat="1" applyFont="1" applyFill="1" applyBorder="1" applyAlignment="1">
      <alignment horizontal="right" vertical="center" indent="2"/>
    </xf>
    <xf numFmtId="214" fontId="2" fillId="32" borderId="0" xfId="0" applyNumberFormat="1" applyFont="1" applyFill="1" applyAlignment="1">
      <alignment/>
    </xf>
    <xf numFmtId="210" fontId="2" fillId="32" borderId="0" xfId="0" applyNumberFormat="1" applyFont="1" applyFill="1" applyBorder="1" applyAlignment="1">
      <alignment vertical="center" readingOrder="1"/>
    </xf>
    <xf numFmtId="215" fontId="17" fillId="33" borderId="0" xfId="0" applyNumberFormat="1" applyFont="1" applyFill="1" applyAlignment="1">
      <alignment/>
    </xf>
    <xf numFmtId="198" fontId="11" fillId="33" borderId="0" xfId="0" applyNumberFormat="1" applyFont="1" applyFill="1" applyAlignment="1">
      <alignment horizontal="right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quotePrefix="1">
      <alignment horizontal="center" vertical="center"/>
    </xf>
    <xf numFmtId="216" fontId="2" fillId="33" borderId="0" xfId="0" applyNumberFormat="1" applyFont="1" applyFill="1" applyAlignment="1">
      <alignment/>
    </xf>
    <xf numFmtId="0" fontId="95" fillId="0" borderId="30" xfId="0" applyFont="1" applyBorder="1" applyAlignment="1">
      <alignment horizontal="left" indent="4"/>
    </xf>
    <xf numFmtId="174" fontId="6" fillId="33" borderId="0" xfId="49" applyNumberFormat="1" applyFont="1" applyFill="1" applyBorder="1" applyAlignment="1">
      <alignment horizontal="center" vertical="center"/>
    </xf>
    <xf numFmtId="209" fontId="6" fillId="33" borderId="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horizontal="right" vertical="center" indent="2"/>
    </xf>
    <xf numFmtId="207" fontId="2" fillId="32" borderId="0" xfId="0" applyNumberFormat="1" applyFont="1" applyFill="1" applyBorder="1" applyAlignment="1">
      <alignment vertical="center" readingOrder="1"/>
    </xf>
    <xf numFmtId="3" fontId="11" fillId="34" borderId="12" xfId="0" applyNumberFormat="1" applyFont="1" applyFill="1" applyBorder="1" applyAlignment="1">
      <alignment horizontal="right" vertical="center" indent="2" readingOrder="1"/>
    </xf>
    <xf numFmtId="225" fontId="11" fillId="33" borderId="12" xfId="49" applyNumberFormat="1" applyFont="1" applyFill="1" applyBorder="1" applyAlignment="1">
      <alignment horizontal="right" vertical="center" indent="2"/>
    </xf>
    <xf numFmtId="225" fontId="5" fillId="33" borderId="12" xfId="49" applyNumberFormat="1" applyFont="1" applyFill="1" applyBorder="1" applyAlignment="1">
      <alignment horizontal="right" vertical="center" indent="2"/>
    </xf>
    <xf numFmtId="225" fontId="12" fillId="33" borderId="12" xfId="49" applyNumberFormat="1" applyFont="1" applyFill="1" applyBorder="1" applyAlignment="1">
      <alignment horizontal="right" vertical="center" indent="2"/>
    </xf>
    <xf numFmtId="225" fontId="12" fillId="33" borderId="17" xfId="49" applyNumberFormat="1" applyFont="1" applyFill="1" applyBorder="1" applyAlignment="1">
      <alignment horizontal="right" vertical="center" indent="2"/>
    </xf>
    <xf numFmtId="0" fontId="96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6" fillId="32" borderId="0" xfId="46" applyNumberFormat="1" applyFont="1" applyFill="1" applyAlignment="1" applyProtection="1">
      <alignment horizontal="left" vertical="center"/>
      <protection/>
    </xf>
    <xf numFmtId="0" fontId="96" fillId="0" borderId="0" xfId="46" applyFont="1" applyAlignment="1" applyProtection="1">
      <alignment horizontal="left" vertical="center"/>
      <protection/>
    </xf>
    <xf numFmtId="0" fontId="96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81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4" fontId="13" fillId="33" borderId="10" xfId="0" applyNumberFormat="1" applyFont="1" applyFill="1" applyBorder="1" applyAlignment="1">
      <alignment horizontal="right" vertical="center" indent="2" readingOrder="1"/>
    </xf>
    <xf numFmtId="174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97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225" fontId="5" fillId="33" borderId="10" xfId="49" applyNumberFormat="1" applyFont="1" applyFill="1" applyBorder="1" applyAlignment="1">
      <alignment horizontal="right" vertical="center" indent="2"/>
    </xf>
    <xf numFmtId="225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74" fontId="13" fillId="33" borderId="34" xfId="0" applyNumberFormat="1" applyFont="1" applyFill="1" applyBorder="1" applyAlignment="1">
      <alignment horizontal="center" vertical="center"/>
    </xf>
    <xf numFmtId="174" fontId="13" fillId="33" borderId="35" xfId="0" applyNumberFormat="1" applyFont="1" applyFill="1" applyBorder="1" applyAlignment="1">
      <alignment horizontal="center" vertical="center"/>
    </xf>
    <xf numFmtId="174" fontId="13" fillId="33" borderId="36" xfId="0" applyNumberFormat="1" applyFont="1" applyFill="1" applyBorder="1" applyAlignment="1">
      <alignment horizontal="center" vertical="center"/>
    </xf>
    <xf numFmtId="174" fontId="13" fillId="33" borderId="16" xfId="0" applyNumberFormat="1" applyFont="1" applyFill="1" applyBorder="1" applyAlignment="1">
      <alignment horizontal="center" vertical="center"/>
    </xf>
    <xf numFmtId="174" fontId="13" fillId="33" borderId="11" xfId="0" applyNumberFormat="1" applyFont="1" applyFill="1" applyBorder="1" applyAlignment="1">
      <alignment horizontal="center" vertical="center"/>
    </xf>
    <xf numFmtId="174" fontId="13" fillId="33" borderId="15" xfId="0" applyNumberFormat="1" applyFont="1" applyFill="1" applyBorder="1" applyAlignment="1">
      <alignment horizontal="center" vertical="center"/>
    </xf>
    <xf numFmtId="174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3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0.9883030242805172</c:v>
                </c:pt>
                <c:pt idx="1">
                  <c:v>0.011696975719482867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75"/>
          <c:y val="0.13875"/>
          <c:w val="0.62975"/>
          <c:h val="0.8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0.6640387634716285</c:v>
                </c:pt>
                <c:pt idx="1">
                  <c:v>0.33596123652837157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Resumen!$G$20:$G$28</c:f>
              <c:strCache>
                <c:ptCount val="9"/>
                <c:pt idx="0">
                  <c:v>MEF  1/</c:v>
                </c:pt>
                <c:pt idx="1">
                  <c:v>Bonistas</c:v>
                </c:pt>
                <c:pt idx="2">
                  <c:v>Banco de la Nación</c:v>
                </c:pt>
                <c:pt idx="3">
                  <c:v>Banco Interamericano de Desarrollo (BID)</c:v>
                </c:pt>
                <c:pt idx="4">
                  <c:v>Banco Scotiabank</c:v>
                </c:pt>
                <c:pt idx="5">
                  <c:v>Banco de Comercio</c:v>
                </c:pt>
                <c:pt idx="6">
                  <c:v>Banco Pichincha</c:v>
                </c:pt>
                <c:pt idx="7">
                  <c:v>BBVA Banco Continental</c:v>
                </c:pt>
                <c:pt idx="8">
                  <c:v>Total</c:v>
                </c:pt>
              </c:strCache>
            </c:strRef>
          </c:cat>
          <c:val>
            <c:numRef>
              <c:f>Resumen!$J$20:$J$28</c:f>
              <c:numCache>
                <c:ptCount val="9"/>
                <c:pt idx="0">
                  <c:v>0.6083085287006698</c:v>
                </c:pt>
                <c:pt idx="1">
                  <c:v>0.3331854374062366</c:v>
                </c:pt>
                <c:pt idx="2">
                  <c:v>0.035689464362217656</c:v>
                </c:pt>
                <c:pt idx="3">
                  <c:v>0.011696975719515211</c:v>
                </c:pt>
                <c:pt idx="4">
                  <c:v>0.010379503642825624</c:v>
                </c:pt>
                <c:pt idx="5">
                  <c:v>0.0007084320799986604</c:v>
                </c:pt>
                <c:pt idx="6">
                  <c:v>3.07185028380693E-05</c:v>
                </c:pt>
                <c:pt idx="7">
                  <c:v>9.395856985021664E-07</c:v>
                </c:pt>
                <c:pt idx="8">
                  <c:v>1.0000000000000002</c:v>
                </c:pt>
              </c:numCache>
            </c:numRef>
          </c:val>
        </c:ser>
        <c:gapWidth val="100"/>
        <c:axId val="50825551"/>
        <c:axId val="54776776"/>
      </c:barChart>
      <c:catAx>
        <c:axId val="508255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76776"/>
        <c:crosses val="autoZero"/>
        <c:auto val="1"/>
        <c:lblOffset val="100"/>
        <c:tickLblSkip val="1"/>
        <c:noMultiLvlLbl val="0"/>
      </c:catAx>
      <c:valAx>
        <c:axId val="5477677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082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0.40534962294086585</c:v>
                </c:pt>
                <c:pt idx="1">
                  <c:v>0.5836197039874799</c:v>
                </c:pt>
                <c:pt idx="2">
                  <c:v>0.011030673071654264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Resumen!$B$37:$B$40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Resumen!$E$37:$E$40</c:f>
              <c:numCache>
                <c:ptCount val="4"/>
                <c:pt idx="0">
                  <c:v>0.8121394537795058</c:v>
                </c:pt>
                <c:pt idx="1">
                  <c:v>0.17803231990177534</c:v>
                </c:pt>
                <c:pt idx="2">
                  <c:v>0</c:v>
                </c:pt>
                <c:pt idx="3">
                  <c:v>0.009828226318718769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Resumen!$B$47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Resumen!$B$49:$B$50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Resumen!$E$49:$E$50</c:f>
              <c:numCache>
                <c:ptCount val="2"/>
                <c:pt idx="0">
                  <c:v>0.9684277505973491</c:v>
                </c:pt>
                <c:pt idx="1">
                  <c:v>0.03157224940265088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0.119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Resumen!$B$28:$B$31</c:f>
              <c:strCache>
                <c:ptCount val="4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  <c:pt idx="3">
                  <c:v>Bonistas</c:v>
                </c:pt>
              </c:strCache>
            </c:strRef>
          </c:cat>
          <c:val>
            <c:numRef>
              <c:f>Resumen!$E$28:$E$31</c:f>
              <c:numCache>
                <c:ptCount val="4"/>
                <c:pt idx="0">
                  <c:v>0.6083085287008387</c:v>
                </c:pt>
                <c:pt idx="1">
                  <c:v>0.046809058175020735</c:v>
                </c:pt>
                <c:pt idx="2">
                  <c:v>0.011696975720307132</c:v>
                </c:pt>
                <c:pt idx="3">
                  <c:v>0.33318543740383333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Resumen!$H$37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Resumen!$G$38:$G$53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Abr 2024</c:v>
                </c:pt>
              </c:strCache>
            </c:strRef>
          </c:cat>
          <c:val>
            <c:numRef>
              <c:f>Resumen!$H$38:$H$53</c:f>
              <c:numCache>
                <c:ptCount val="16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14.9630181</c:v>
                </c:pt>
                <c:pt idx="14">
                  <c:v>12.40236419</c:v>
                </c:pt>
                <c:pt idx="15">
                  <c:v>11.27487652</c:v>
                </c:pt>
              </c:numCache>
            </c:numRef>
          </c:val>
        </c:ser>
        <c:ser>
          <c:idx val="1"/>
          <c:order val="1"/>
          <c:tx>
            <c:strRef>
              <c:f>Resumen!$I$37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Resumen!$G$38:$G$53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Abr 2024</c:v>
                </c:pt>
              </c:strCache>
            </c:strRef>
          </c:cat>
          <c:val>
            <c:numRef>
              <c:f>Resumen!$I$38:$I$53</c:f>
              <c:numCache>
                <c:ptCount val="16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726.5431257600001</c:v>
                </c:pt>
                <c:pt idx="13">
                  <c:v>666.9443867900001</c:v>
                </c:pt>
                <c:pt idx="14">
                  <c:v>1014.1072922000001</c:v>
                </c:pt>
                <c:pt idx="15">
                  <c:v>952.6389409999999</c:v>
                </c:pt>
              </c:numCache>
            </c:numRef>
          </c:val>
        </c:ser>
        <c:overlap val="-25"/>
        <c:axId val="23228937"/>
        <c:axId val="7733842"/>
      </c:bar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33842"/>
        <c:crosses val="autoZero"/>
        <c:auto val="1"/>
        <c:lblOffset val="100"/>
        <c:tickLblSkip val="1"/>
        <c:noMultiLvlLbl val="0"/>
      </c:catAx>
      <c:valAx>
        <c:axId val="7733842"/>
        <c:scaling>
          <c:orientation val="minMax"/>
        </c:scaling>
        <c:axPos val="l"/>
        <c:delete val="1"/>
        <c:majorTickMark val="out"/>
        <c:minorTickMark val="none"/>
        <c:tickLblPos val="nextTo"/>
        <c:crossAx val="23228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25"/>
          <c:y val="0.0285"/>
          <c:w val="0.799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'DGRGL-C7'!$B$15:$C$37</c:f>
              <c:multiLvlStrCache/>
            </c:multiLvlStrRef>
          </c:cat>
          <c:val>
            <c:numRef>
              <c:f>'DGRGL-C7'!$J$15:$J$34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'DGRGL-C7'!$M$15:$M$34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'DGRGL-C7'!$G$15:$G$34</c:f>
              <c:numCache/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61436"/>
        <c:crosses val="autoZero"/>
        <c:auto val="1"/>
        <c:lblOffset val="100"/>
        <c:tickLblSkip val="2"/>
        <c:tickMarkSkip val="2"/>
        <c:noMultiLvlLbl val="0"/>
      </c:catAx>
      <c:valAx>
        <c:axId val="2246143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95715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14"/>
          <c:w val="0.2045"/>
          <c:h val="0.241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657225</xdr:colOff>
      <xdr:row>33</xdr:row>
      <xdr:rowOff>66675</xdr:rowOff>
    </xdr:to>
    <xdr:graphicFrame>
      <xdr:nvGraphicFramePr>
        <xdr:cNvPr id="1" name="4 Gráfico"/>
        <xdr:cNvGraphicFramePr/>
      </xdr:nvGraphicFramePr>
      <xdr:xfrm>
        <a:off x="10372725" y="2219325"/>
        <a:ext cx="73056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76200</xdr:colOff>
      <xdr:row>0</xdr:row>
      <xdr:rowOff>161925</xdr:rowOff>
    </xdr:from>
    <xdr:to>
      <xdr:col>9</xdr:col>
      <xdr:colOff>466725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8</xdr:col>
      <xdr:colOff>971550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1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6" spans="2:11" ht="36" customHeight="1">
      <c r="B6" s="424" t="s">
        <v>235</v>
      </c>
      <c r="C6" s="424"/>
      <c r="D6" s="424"/>
      <c r="E6" s="424"/>
      <c r="F6" s="424"/>
      <c r="G6" s="424"/>
      <c r="H6" s="424"/>
      <c r="I6" s="424"/>
      <c r="J6" s="424"/>
      <c r="K6" s="106"/>
    </row>
    <row r="7" spans="2:11" ht="24.75" customHeight="1">
      <c r="B7" s="425" t="s">
        <v>404</v>
      </c>
      <c r="C7" s="425"/>
      <c r="D7" s="425"/>
      <c r="E7" s="425"/>
      <c r="F7" s="425"/>
      <c r="G7" s="425"/>
      <c r="H7" s="425"/>
      <c r="I7" s="425"/>
      <c r="J7" s="425"/>
      <c r="K7" s="106"/>
    </row>
    <row r="8" spans="2:11" ht="19.5" customHeight="1">
      <c r="B8" s="183"/>
      <c r="C8" s="183"/>
      <c r="D8" s="70"/>
      <c r="E8" s="184"/>
      <c r="F8" s="184"/>
      <c r="G8" s="185"/>
      <c r="H8" s="185"/>
      <c r="I8" s="106"/>
      <c r="J8" s="106"/>
      <c r="K8" s="106"/>
    </row>
    <row r="9" spans="2:11" ht="19.5" customHeight="1">
      <c r="B9" s="74"/>
      <c r="C9" s="74"/>
      <c r="D9" s="423" t="s">
        <v>52</v>
      </c>
      <c r="E9" s="423"/>
      <c r="F9" s="423"/>
      <c r="G9" s="423"/>
      <c r="H9" s="423"/>
      <c r="I9" s="423"/>
      <c r="J9" s="423"/>
      <c r="K9" s="106"/>
    </row>
    <row r="10" spans="2:11" ht="19.5" customHeight="1">
      <c r="B10" s="106"/>
      <c r="C10" s="74"/>
      <c r="D10" s="427" t="s">
        <v>167</v>
      </c>
      <c r="E10" s="427"/>
      <c r="F10" s="427"/>
      <c r="G10" s="427"/>
      <c r="H10" s="427"/>
      <c r="I10" s="427"/>
      <c r="J10" s="427"/>
      <c r="K10" s="106"/>
    </row>
    <row r="11" spans="2:10" ht="19.5" customHeight="1">
      <c r="B11" s="106"/>
      <c r="C11" s="74"/>
      <c r="D11" s="423" t="s">
        <v>168</v>
      </c>
      <c r="E11" s="423"/>
      <c r="F11" s="423"/>
      <c r="G11" s="423"/>
      <c r="H11" s="423"/>
      <c r="I11" s="423"/>
      <c r="J11" s="423"/>
    </row>
    <row r="12" spans="2:10" ht="9.75" customHeight="1">
      <c r="B12" s="106"/>
      <c r="C12" s="74"/>
      <c r="D12" s="258"/>
      <c r="E12" s="184"/>
      <c r="F12" s="184"/>
      <c r="G12" s="185"/>
      <c r="H12" s="185"/>
      <c r="I12" s="106"/>
      <c r="J12" s="106"/>
    </row>
    <row r="13" spans="2:11" ht="19.5" customHeight="1">
      <c r="B13" s="2" t="s">
        <v>17</v>
      </c>
      <c r="C13" s="2" t="s">
        <v>1</v>
      </c>
      <c r="D13" s="428" t="s">
        <v>122</v>
      </c>
      <c r="E13" s="428"/>
      <c r="F13" s="428"/>
      <c r="G13" s="428"/>
      <c r="H13" s="428"/>
      <c r="I13" s="428"/>
      <c r="J13" s="428"/>
      <c r="K13" s="374"/>
    </row>
    <row r="14" spans="2:11" ht="19.5" customHeight="1">
      <c r="B14" s="2" t="s">
        <v>18</v>
      </c>
      <c r="C14" s="2" t="s">
        <v>1</v>
      </c>
      <c r="D14" s="427" t="s">
        <v>79</v>
      </c>
      <c r="E14" s="427"/>
      <c r="F14" s="427"/>
      <c r="G14" s="427"/>
      <c r="H14" s="427"/>
      <c r="I14" s="427"/>
      <c r="J14" s="427"/>
      <c r="K14" s="374"/>
    </row>
    <row r="15" spans="2:11" ht="19.5" customHeight="1">
      <c r="B15" s="2" t="s">
        <v>19</v>
      </c>
      <c r="C15" s="2" t="s">
        <v>1</v>
      </c>
      <c r="D15" s="426" t="s">
        <v>54</v>
      </c>
      <c r="E15" s="426"/>
      <c r="F15" s="426"/>
      <c r="G15" s="426"/>
      <c r="H15" s="426"/>
      <c r="I15" s="426"/>
      <c r="J15" s="426"/>
      <c r="K15" s="374"/>
    </row>
    <row r="16" spans="2:11" ht="19.5" customHeight="1">
      <c r="B16" s="2" t="s">
        <v>20</v>
      </c>
      <c r="C16" s="2" t="s">
        <v>1</v>
      </c>
      <c r="D16" s="423" t="s">
        <v>100</v>
      </c>
      <c r="E16" s="423"/>
      <c r="F16" s="423"/>
      <c r="G16" s="423"/>
      <c r="H16" s="423"/>
      <c r="I16" s="423"/>
      <c r="J16" s="423"/>
      <c r="K16" s="374"/>
    </row>
    <row r="17" spans="2:11" ht="19.5" customHeight="1">
      <c r="B17" s="2" t="s">
        <v>21</v>
      </c>
      <c r="C17" s="2" t="s">
        <v>1</v>
      </c>
      <c r="D17" s="423" t="s">
        <v>84</v>
      </c>
      <c r="E17" s="423"/>
      <c r="F17" s="423"/>
      <c r="G17" s="423"/>
      <c r="H17" s="423"/>
      <c r="I17" s="423"/>
      <c r="J17" s="423"/>
      <c r="K17" s="374"/>
    </row>
    <row r="18" spans="2:11" ht="19.5" customHeight="1">
      <c r="B18" s="2" t="s">
        <v>22</v>
      </c>
      <c r="C18" s="2" t="s">
        <v>1</v>
      </c>
      <c r="D18" s="423" t="s">
        <v>99</v>
      </c>
      <c r="E18" s="423"/>
      <c r="F18" s="423"/>
      <c r="G18" s="423"/>
      <c r="H18" s="423"/>
      <c r="I18" s="423"/>
      <c r="J18" s="423"/>
      <c r="K18" s="374"/>
    </row>
    <row r="19" spans="2:11" ht="19.5" customHeight="1">
      <c r="B19" s="2" t="s">
        <v>98</v>
      </c>
      <c r="C19" s="2" t="s">
        <v>1</v>
      </c>
      <c r="D19" s="423" t="s">
        <v>406</v>
      </c>
      <c r="E19" s="423"/>
      <c r="F19" s="423"/>
      <c r="G19" s="423"/>
      <c r="H19" s="423"/>
      <c r="I19" s="423"/>
      <c r="J19" s="423"/>
      <c r="K19" s="423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E270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69" customWidth="1"/>
    <col min="2" max="2" width="70.7109375" style="69" customWidth="1"/>
    <col min="3" max="4" width="19.7109375" style="69" customWidth="1"/>
    <col min="5" max="5" width="11.421875" style="69" customWidth="1"/>
    <col min="6" max="16384" width="11.421875" style="69" customWidth="1"/>
  </cols>
  <sheetData>
    <row r="1" ht="15"/>
    <row r="2" ht="15"/>
    <row r="3" ht="15"/>
    <row r="5" spans="2:3" ht="18" customHeight="1">
      <c r="B5" s="80" t="s">
        <v>22</v>
      </c>
      <c r="C5" s="80"/>
    </row>
    <row r="6" spans="2:4" ht="18">
      <c r="B6" s="128" t="s">
        <v>240</v>
      </c>
      <c r="C6" s="128"/>
      <c r="D6" s="128"/>
    </row>
    <row r="7" spans="2:4" ht="15.75" customHeight="1">
      <c r="B7" s="126" t="s">
        <v>64</v>
      </c>
      <c r="C7" s="126"/>
      <c r="D7" s="126"/>
    </row>
    <row r="8" spans="2:4" ht="15.75" customHeight="1">
      <c r="B8" s="126" t="s">
        <v>99</v>
      </c>
      <c r="C8" s="126"/>
      <c r="D8" s="126"/>
    </row>
    <row r="9" spans="2:5" ht="15" customHeight="1">
      <c r="B9" s="264" t="str">
        <f>+'DGRGL-C1'!B9</f>
        <v>Al 30 de abril de 2024</v>
      </c>
      <c r="C9" s="264"/>
      <c r="D9" s="220"/>
      <c r="E9" s="251">
        <f>+Portada!I34</f>
        <v>3.752</v>
      </c>
    </row>
    <row r="10" spans="2:4" ht="7.5" customHeight="1">
      <c r="B10" s="221"/>
      <c r="C10" s="221"/>
      <c r="D10" s="221"/>
    </row>
    <row r="11" spans="2:4" ht="12" customHeight="1">
      <c r="B11" s="486" t="s">
        <v>95</v>
      </c>
      <c r="C11" s="489" t="s">
        <v>53</v>
      </c>
      <c r="D11" s="492" t="s">
        <v>130</v>
      </c>
    </row>
    <row r="12" spans="2:4" ht="12" customHeight="1">
      <c r="B12" s="487"/>
      <c r="C12" s="490"/>
      <c r="D12" s="493"/>
    </row>
    <row r="13" spans="2:5" ht="12" customHeight="1">
      <c r="B13" s="488"/>
      <c r="C13" s="491"/>
      <c r="D13" s="494"/>
      <c r="E13" s="172"/>
    </row>
    <row r="14" spans="2:5" ht="9.75" customHeight="1">
      <c r="B14" s="90"/>
      <c r="C14" s="86"/>
      <c r="D14" s="91"/>
      <c r="E14" s="172"/>
    </row>
    <row r="15" spans="2:5" ht="20.25" customHeight="1">
      <c r="B15" s="92" t="s">
        <v>109</v>
      </c>
      <c r="C15" s="89">
        <f>SUM(C17:C33)</f>
        <v>390722.10248</v>
      </c>
      <c r="D15" s="89">
        <f>SUM(D17:D33)</f>
        <v>1465989.3285099997</v>
      </c>
      <c r="E15" s="172"/>
    </row>
    <row r="16" spans="2:5" ht="7.5" customHeight="1">
      <c r="B16" s="93"/>
      <c r="C16" s="89"/>
      <c r="D16" s="89"/>
      <c r="E16" s="172"/>
    </row>
    <row r="17" spans="2:4" ht="15.75" customHeight="1">
      <c r="B17" s="330" t="s">
        <v>204</v>
      </c>
      <c r="C17" s="292">
        <v>93327.57738</v>
      </c>
      <c r="D17" s="292">
        <f aca="true" t="shared" si="0" ref="D17:D33">ROUND(+C17*$E$9,5)</f>
        <v>350165.07033</v>
      </c>
    </row>
    <row r="18" spans="2:4" ht="15.75" customHeight="1">
      <c r="B18" s="330" t="s">
        <v>96</v>
      </c>
      <c r="C18" s="292">
        <v>87578.95532</v>
      </c>
      <c r="D18" s="292">
        <f t="shared" si="0"/>
        <v>328596.24036</v>
      </c>
    </row>
    <row r="19" spans="2:4" ht="15.75" customHeight="1">
      <c r="B19" s="330" t="s">
        <v>224</v>
      </c>
      <c r="C19" s="292">
        <v>47780.87277</v>
      </c>
      <c r="D19" s="292">
        <f t="shared" si="0"/>
        <v>179273.83463</v>
      </c>
    </row>
    <row r="20" spans="2:4" ht="15.75" customHeight="1">
      <c r="B20" s="330" t="s">
        <v>242</v>
      </c>
      <c r="C20" s="292">
        <v>40976.69225</v>
      </c>
      <c r="D20" s="292">
        <f aca="true" t="shared" si="1" ref="D20:D28">ROUND(+C20*$E$9,5)</f>
        <v>153744.54932</v>
      </c>
    </row>
    <row r="21" spans="2:4" ht="15.75" customHeight="1">
      <c r="B21" s="330" t="s">
        <v>205</v>
      </c>
      <c r="C21" s="292">
        <v>32176.298919999997</v>
      </c>
      <c r="D21" s="292">
        <f t="shared" si="1"/>
        <v>120725.47355</v>
      </c>
    </row>
    <row r="22" spans="2:4" ht="15.75" customHeight="1">
      <c r="B22" s="330" t="s">
        <v>212</v>
      </c>
      <c r="C22" s="292">
        <v>20028.524739999997</v>
      </c>
      <c r="D22" s="292">
        <f t="shared" si="1"/>
        <v>75147.02482</v>
      </c>
    </row>
    <row r="23" spans="2:4" ht="15.75" customHeight="1">
      <c r="B23" s="385" t="s">
        <v>243</v>
      </c>
      <c r="C23" s="292">
        <v>15852.490699999998</v>
      </c>
      <c r="D23" s="292">
        <f t="shared" si="1"/>
        <v>59478.54511</v>
      </c>
    </row>
    <row r="24" spans="2:4" ht="15.75" customHeight="1">
      <c r="B24" s="330" t="s">
        <v>259</v>
      </c>
      <c r="C24" s="292">
        <v>12362.838179999999</v>
      </c>
      <c r="D24" s="292">
        <f t="shared" si="1"/>
        <v>46385.36885</v>
      </c>
    </row>
    <row r="25" spans="2:4" ht="15.75" customHeight="1">
      <c r="B25" s="330" t="s">
        <v>174</v>
      </c>
      <c r="C25" s="292">
        <v>10364.80891</v>
      </c>
      <c r="D25" s="292">
        <f t="shared" si="1"/>
        <v>38888.76303</v>
      </c>
    </row>
    <row r="26" spans="2:4" ht="15.75" customHeight="1">
      <c r="B26" s="330" t="s">
        <v>210</v>
      </c>
      <c r="C26" s="292">
        <v>8655.475289999998</v>
      </c>
      <c r="D26" s="292">
        <f t="shared" si="1"/>
        <v>32475.34329</v>
      </c>
    </row>
    <row r="27" spans="2:4" ht="15.75" customHeight="1">
      <c r="B27" s="330" t="s">
        <v>206</v>
      </c>
      <c r="C27" s="292">
        <v>7624.42442</v>
      </c>
      <c r="D27" s="292">
        <f t="shared" si="1"/>
        <v>28606.84042</v>
      </c>
    </row>
    <row r="28" spans="2:4" ht="15.75" customHeight="1">
      <c r="B28" s="330" t="s">
        <v>232</v>
      </c>
      <c r="C28" s="292">
        <v>6402.21959</v>
      </c>
      <c r="D28" s="292">
        <f t="shared" si="1"/>
        <v>24021.1279</v>
      </c>
    </row>
    <row r="29" spans="2:4" ht="15.75" customHeight="1">
      <c r="B29" s="330" t="s">
        <v>226</v>
      </c>
      <c r="C29" s="292">
        <v>3950.41049</v>
      </c>
      <c r="D29" s="292">
        <f t="shared" si="0"/>
        <v>14821.94016</v>
      </c>
    </row>
    <row r="30" spans="2:4" ht="15.75" customHeight="1">
      <c r="B30" s="330" t="s">
        <v>225</v>
      </c>
      <c r="C30" s="292">
        <v>2605.7709</v>
      </c>
      <c r="D30" s="292">
        <f t="shared" si="0"/>
        <v>9776.85242</v>
      </c>
    </row>
    <row r="31" spans="2:4" ht="15.75" customHeight="1">
      <c r="B31" s="330" t="s">
        <v>120</v>
      </c>
      <c r="C31" s="292">
        <v>1034.74223</v>
      </c>
      <c r="D31" s="292">
        <f t="shared" si="0"/>
        <v>3882.35285</v>
      </c>
    </row>
    <row r="32" spans="2:4" ht="15.75" customHeight="1">
      <c r="B32" s="330" t="s">
        <v>278</v>
      </c>
      <c r="C32" s="292">
        <v>0.00037</v>
      </c>
      <c r="D32" s="292">
        <f t="shared" si="0"/>
        <v>0.00139</v>
      </c>
    </row>
    <row r="33" spans="2:4" ht="15.75" customHeight="1">
      <c r="B33" s="330" t="s">
        <v>199</v>
      </c>
      <c r="C33" s="292">
        <v>2E-05</v>
      </c>
      <c r="D33" s="292">
        <f t="shared" si="0"/>
        <v>8E-05</v>
      </c>
    </row>
    <row r="34" spans="2:4" ht="12" customHeight="1">
      <c r="B34" s="386"/>
      <c r="C34" s="293"/>
      <c r="D34" s="293"/>
    </row>
    <row r="35" spans="2:4" ht="20.25" customHeight="1">
      <c r="B35" s="387" t="s">
        <v>110</v>
      </c>
      <c r="C35" s="89">
        <f>SUM(C37:C163)</f>
        <v>532126.1693999998</v>
      </c>
      <c r="D35" s="89">
        <f>SUM(D37:D163)</f>
        <v>1996537.3875799987</v>
      </c>
    </row>
    <row r="36" spans="2:4" ht="7.5" customHeight="1">
      <c r="B36" s="388"/>
      <c r="C36" s="89"/>
      <c r="D36" s="89"/>
    </row>
    <row r="37" spans="2:4" ht="15.75" customHeight="1">
      <c r="B37" s="385" t="s">
        <v>165</v>
      </c>
      <c r="C37" s="292">
        <v>332436.92343</v>
      </c>
      <c r="D37" s="292">
        <f aca="true" t="shared" si="2" ref="D37:D68">ROUND(+C37*$E$9,5)</f>
        <v>1247303.33671</v>
      </c>
    </row>
    <row r="38" spans="2:4" ht="15.75" customHeight="1">
      <c r="B38" s="385" t="s">
        <v>399</v>
      </c>
      <c r="C38" s="292">
        <v>8657.32798</v>
      </c>
      <c r="D38" s="292">
        <f t="shared" si="2"/>
        <v>32482.29458</v>
      </c>
    </row>
    <row r="39" spans="2:4" ht="15.75" customHeight="1">
      <c r="B39" s="385" t="s">
        <v>264</v>
      </c>
      <c r="C39" s="292">
        <v>7387.62181</v>
      </c>
      <c r="D39" s="292">
        <f t="shared" si="2"/>
        <v>27718.35703</v>
      </c>
    </row>
    <row r="40" spans="2:4" ht="15.75" customHeight="1">
      <c r="B40" s="385" t="s">
        <v>211</v>
      </c>
      <c r="C40" s="292">
        <v>7303.4583600000005</v>
      </c>
      <c r="D40" s="292">
        <f t="shared" si="2"/>
        <v>27402.57577</v>
      </c>
    </row>
    <row r="41" spans="2:4" ht="15.75" customHeight="1">
      <c r="B41" s="385" t="s">
        <v>285</v>
      </c>
      <c r="C41" s="292">
        <v>6664.93056</v>
      </c>
      <c r="D41" s="292">
        <f t="shared" si="2"/>
        <v>25006.81946</v>
      </c>
    </row>
    <row r="42" spans="2:4" ht="15.75" customHeight="1">
      <c r="B42" s="385" t="s">
        <v>284</v>
      </c>
      <c r="C42" s="292">
        <v>6199.52721</v>
      </c>
      <c r="D42" s="292">
        <f t="shared" si="2"/>
        <v>23260.62609</v>
      </c>
    </row>
    <row r="43" spans="2:4" ht="15.75" customHeight="1">
      <c r="B43" s="385" t="s">
        <v>350</v>
      </c>
      <c r="C43" s="292">
        <v>6046.497429999999</v>
      </c>
      <c r="D43" s="292">
        <f t="shared" si="2"/>
        <v>22686.45836</v>
      </c>
    </row>
    <row r="44" spans="2:4" ht="15.75" customHeight="1">
      <c r="B44" s="385" t="s">
        <v>288</v>
      </c>
      <c r="C44" s="292">
        <v>5976.289849999999</v>
      </c>
      <c r="D44" s="292">
        <f t="shared" si="2"/>
        <v>22423.03952</v>
      </c>
    </row>
    <row r="45" spans="2:4" ht="15.75" customHeight="1">
      <c r="B45" s="385" t="s">
        <v>173</v>
      </c>
      <c r="C45" s="292">
        <v>5391.41141</v>
      </c>
      <c r="D45" s="292">
        <f t="shared" si="2"/>
        <v>20228.57561</v>
      </c>
    </row>
    <row r="46" spans="2:4" ht="15.75" customHeight="1">
      <c r="B46" s="385" t="s">
        <v>287</v>
      </c>
      <c r="C46" s="292">
        <v>4799.14535</v>
      </c>
      <c r="D46" s="292">
        <f t="shared" si="2"/>
        <v>18006.39335</v>
      </c>
    </row>
    <row r="47" spans="2:4" ht="15.75" customHeight="1">
      <c r="B47" s="385" t="s">
        <v>301</v>
      </c>
      <c r="C47" s="292">
        <v>4650.764190000001</v>
      </c>
      <c r="D47" s="292">
        <f t="shared" si="2"/>
        <v>17449.66724</v>
      </c>
    </row>
    <row r="48" spans="2:4" ht="15.75" customHeight="1">
      <c r="B48" s="385" t="s">
        <v>274</v>
      </c>
      <c r="C48" s="292">
        <v>4608.52196</v>
      </c>
      <c r="D48" s="292">
        <f t="shared" si="2"/>
        <v>17291.17439</v>
      </c>
    </row>
    <row r="49" spans="2:4" ht="15.75" customHeight="1">
      <c r="B49" s="385" t="s">
        <v>339</v>
      </c>
      <c r="C49" s="292">
        <v>4291.70375</v>
      </c>
      <c r="D49" s="292">
        <f t="shared" si="2"/>
        <v>16102.47247</v>
      </c>
    </row>
    <row r="50" spans="2:4" ht="15.75" customHeight="1">
      <c r="B50" s="385" t="s">
        <v>249</v>
      </c>
      <c r="C50" s="292">
        <v>4251.1937800000005</v>
      </c>
      <c r="D50" s="292">
        <f t="shared" si="2"/>
        <v>15950.47906</v>
      </c>
    </row>
    <row r="51" spans="2:4" ht="15.75" customHeight="1">
      <c r="B51" s="385" t="s">
        <v>352</v>
      </c>
      <c r="C51" s="292">
        <v>4157.24143</v>
      </c>
      <c r="D51" s="292">
        <f t="shared" si="2"/>
        <v>15597.96985</v>
      </c>
    </row>
    <row r="52" spans="2:4" ht="15.75" customHeight="1">
      <c r="B52" s="385" t="s">
        <v>336</v>
      </c>
      <c r="C52" s="292">
        <v>4127.4973199999995</v>
      </c>
      <c r="D52" s="292">
        <f t="shared" si="2"/>
        <v>15486.36994</v>
      </c>
    </row>
    <row r="53" spans="2:4" ht="15.75" customHeight="1">
      <c r="B53" s="385" t="s">
        <v>275</v>
      </c>
      <c r="C53" s="292">
        <v>4001.31036</v>
      </c>
      <c r="D53" s="292">
        <f t="shared" si="2"/>
        <v>15012.91647</v>
      </c>
    </row>
    <row r="54" spans="2:4" ht="15.75" customHeight="1">
      <c r="B54" s="385" t="s">
        <v>292</v>
      </c>
      <c r="C54" s="292">
        <v>3351.2812799999997</v>
      </c>
      <c r="D54" s="292">
        <f t="shared" si="2"/>
        <v>12574.00736</v>
      </c>
    </row>
    <row r="55" spans="2:4" ht="15.75" customHeight="1">
      <c r="B55" s="385" t="s">
        <v>177</v>
      </c>
      <c r="C55" s="292">
        <v>3277.1812400000003</v>
      </c>
      <c r="D55" s="292">
        <f t="shared" si="2"/>
        <v>12295.98401</v>
      </c>
    </row>
    <row r="56" spans="2:4" ht="15.75" customHeight="1">
      <c r="B56" s="385" t="s">
        <v>247</v>
      </c>
      <c r="C56" s="292">
        <v>3198.97</v>
      </c>
      <c r="D56" s="292">
        <f t="shared" si="2"/>
        <v>12002.53544</v>
      </c>
    </row>
    <row r="57" spans="2:4" ht="15.75" customHeight="1">
      <c r="B57" s="385" t="s">
        <v>337</v>
      </c>
      <c r="C57" s="292">
        <v>3170.4502</v>
      </c>
      <c r="D57" s="292">
        <f t="shared" si="2"/>
        <v>11895.52915</v>
      </c>
    </row>
    <row r="58" spans="2:4" ht="15.75" customHeight="1">
      <c r="B58" s="385" t="s">
        <v>251</v>
      </c>
      <c r="C58" s="292">
        <v>3104.90583</v>
      </c>
      <c r="D58" s="292">
        <f t="shared" si="2"/>
        <v>11649.60667</v>
      </c>
    </row>
    <row r="59" spans="2:4" ht="15.75" customHeight="1">
      <c r="B59" s="385" t="s">
        <v>180</v>
      </c>
      <c r="C59" s="292">
        <v>2649.97846</v>
      </c>
      <c r="D59" s="292">
        <f t="shared" si="2"/>
        <v>9942.71918</v>
      </c>
    </row>
    <row r="60" spans="2:4" ht="15.75" customHeight="1">
      <c r="B60" s="385" t="s">
        <v>407</v>
      </c>
      <c r="C60" s="292">
        <v>2580.80629</v>
      </c>
      <c r="D60" s="292">
        <f t="shared" si="2"/>
        <v>9683.1852</v>
      </c>
    </row>
    <row r="61" spans="2:4" ht="15.75" customHeight="1">
      <c r="B61" s="385" t="s">
        <v>178</v>
      </c>
      <c r="C61" s="292">
        <v>2524.01244</v>
      </c>
      <c r="D61" s="292">
        <f t="shared" si="2"/>
        <v>9470.09467</v>
      </c>
    </row>
    <row r="62" spans="2:4" ht="15.75" customHeight="1">
      <c r="B62" s="385" t="s">
        <v>400</v>
      </c>
      <c r="C62" s="292">
        <v>2513.5044</v>
      </c>
      <c r="D62" s="292">
        <f t="shared" si="2"/>
        <v>9430.66851</v>
      </c>
    </row>
    <row r="63" spans="2:4" ht="15.75" customHeight="1">
      <c r="B63" s="385" t="s">
        <v>315</v>
      </c>
      <c r="C63" s="292">
        <v>2501.19302</v>
      </c>
      <c r="D63" s="292">
        <f t="shared" si="2"/>
        <v>9384.47621</v>
      </c>
    </row>
    <row r="64" spans="2:4" ht="15.75" customHeight="1">
      <c r="B64" s="385" t="s">
        <v>271</v>
      </c>
      <c r="C64" s="292">
        <v>2467.83086</v>
      </c>
      <c r="D64" s="292">
        <f t="shared" si="2"/>
        <v>9259.30139</v>
      </c>
    </row>
    <row r="65" spans="2:4" ht="15.75" customHeight="1">
      <c r="B65" s="385" t="s">
        <v>198</v>
      </c>
      <c r="C65" s="292">
        <v>2365.9686</v>
      </c>
      <c r="D65" s="292">
        <f t="shared" si="2"/>
        <v>8877.11419</v>
      </c>
    </row>
    <row r="66" spans="2:4" ht="15.75" customHeight="1">
      <c r="B66" s="385" t="s">
        <v>179</v>
      </c>
      <c r="C66" s="292">
        <v>2338.52374</v>
      </c>
      <c r="D66" s="292">
        <f t="shared" si="2"/>
        <v>8774.14107</v>
      </c>
    </row>
    <row r="67" spans="2:4" ht="15.75" customHeight="1">
      <c r="B67" s="385" t="s">
        <v>183</v>
      </c>
      <c r="C67" s="292">
        <v>2337.56934</v>
      </c>
      <c r="D67" s="292">
        <f t="shared" si="2"/>
        <v>8770.56016</v>
      </c>
    </row>
    <row r="68" spans="2:4" ht="15.75" customHeight="1">
      <c r="B68" s="385" t="s">
        <v>256</v>
      </c>
      <c r="C68" s="292">
        <v>2252.5307599999996</v>
      </c>
      <c r="D68" s="292">
        <f t="shared" si="2"/>
        <v>8451.49541</v>
      </c>
    </row>
    <row r="69" spans="2:4" ht="15.75" customHeight="1">
      <c r="B69" s="385" t="s">
        <v>408</v>
      </c>
      <c r="C69" s="292">
        <v>2087.06167</v>
      </c>
      <c r="D69" s="292">
        <f aca="true" t="shared" si="3" ref="D69:D100">ROUND(+C69*$E$9,5)</f>
        <v>7830.65539</v>
      </c>
    </row>
    <row r="70" spans="2:4" ht="15.75" customHeight="1">
      <c r="B70" s="385" t="s">
        <v>302</v>
      </c>
      <c r="C70" s="292">
        <v>2062.14047</v>
      </c>
      <c r="D70" s="292">
        <f t="shared" si="3"/>
        <v>7737.15104</v>
      </c>
    </row>
    <row r="71" spans="2:4" ht="15.75" customHeight="1">
      <c r="B71" s="385" t="s">
        <v>317</v>
      </c>
      <c r="C71" s="292">
        <v>2059.92744</v>
      </c>
      <c r="D71" s="292">
        <f t="shared" si="3"/>
        <v>7728.84775</v>
      </c>
    </row>
    <row r="72" spans="2:4" ht="15.75" customHeight="1">
      <c r="B72" s="385" t="s">
        <v>325</v>
      </c>
      <c r="C72" s="292">
        <v>1760.3378400000001</v>
      </c>
      <c r="D72" s="292">
        <f t="shared" si="3"/>
        <v>6604.78758</v>
      </c>
    </row>
    <row r="73" spans="2:4" ht="15.75" customHeight="1">
      <c r="B73" s="385" t="s">
        <v>289</v>
      </c>
      <c r="C73" s="292">
        <v>1753.75172</v>
      </c>
      <c r="D73" s="292">
        <f t="shared" si="3"/>
        <v>6580.07645</v>
      </c>
    </row>
    <row r="74" spans="2:4" ht="15.75" customHeight="1">
      <c r="B74" s="385" t="s">
        <v>176</v>
      </c>
      <c r="C74" s="292">
        <v>1710.1769299999999</v>
      </c>
      <c r="D74" s="292">
        <f t="shared" si="3"/>
        <v>6416.58384</v>
      </c>
    </row>
    <row r="75" spans="2:4" ht="15.75" customHeight="1">
      <c r="B75" s="385" t="s">
        <v>316</v>
      </c>
      <c r="C75" s="292">
        <v>1657.3698200000001</v>
      </c>
      <c r="D75" s="292">
        <f t="shared" si="3"/>
        <v>6218.45156</v>
      </c>
    </row>
    <row r="76" spans="2:4" ht="15.75" customHeight="1">
      <c r="B76" s="385" t="s">
        <v>254</v>
      </c>
      <c r="C76" s="292">
        <v>1642.56531</v>
      </c>
      <c r="D76" s="292">
        <f t="shared" si="3"/>
        <v>6162.90504</v>
      </c>
    </row>
    <row r="77" spans="2:4" ht="15.75" customHeight="1">
      <c r="B77" s="385" t="s">
        <v>346</v>
      </c>
      <c r="C77" s="292">
        <v>1629.51053</v>
      </c>
      <c r="D77" s="292">
        <f t="shared" si="3"/>
        <v>6113.92351</v>
      </c>
    </row>
    <row r="78" spans="2:4" ht="15.75" customHeight="1">
      <c r="B78" s="385" t="s">
        <v>386</v>
      </c>
      <c r="C78" s="292">
        <v>1605.8316499999999</v>
      </c>
      <c r="D78" s="292">
        <f t="shared" si="3"/>
        <v>6025.08035</v>
      </c>
    </row>
    <row r="79" spans="2:4" ht="15.75" customHeight="1">
      <c r="B79" s="385" t="s">
        <v>282</v>
      </c>
      <c r="C79" s="292">
        <v>1535.18461</v>
      </c>
      <c r="D79" s="292">
        <f t="shared" si="3"/>
        <v>5760.01266</v>
      </c>
    </row>
    <row r="80" spans="2:4" ht="15.75" customHeight="1">
      <c r="B80" s="385" t="s">
        <v>175</v>
      </c>
      <c r="C80" s="292">
        <v>1513.6261100000002</v>
      </c>
      <c r="D80" s="292">
        <f t="shared" si="3"/>
        <v>5679.12516</v>
      </c>
    </row>
    <row r="81" spans="2:4" ht="15.75" customHeight="1">
      <c r="B81" s="385" t="s">
        <v>286</v>
      </c>
      <c r="C81" s="292">
        <v>1502.0318300000001</v>
      </c>
      <c r="D81" s="292">
        <f t="shared" si="3"/>
        <v>5635.62343</v>
      </c>
    </row>
    <row r="82" spans="2:4" ht="15.75" customHeight="1">
      <c r="B82" s="385" t="s">
        <v>258</v>
      </c>
      <c r="C82" s="292">
        <v>1480.98118</v>
      </c>
      <c r="D82" s="292">
        <f t="shared" si="3"/>
        <v>5556.64139</v>
      </c>
    </row>
    <row r="83" spans="2:4" ht="15.75" customHeight="1">
      <c r="B83" s="385" t="s">
        <v>303</v>
      </c>
      <c r="C83" s="292">
        <v>1390.54481</v>
      </c>
      <c r="D83" s="292">
        <f t="shared" si="3"/>
        <v>5217.32413</v>
      </c>
    </row>
    <row r="84" spans="2:4" ht="15.75" customHeight="1">
      <c r="B84" s="385" t="s">
        <v>388</v>
      </c>
      <c r="C84" s="292">
        <v>1365.37471</v>
      </c>
      <c r="D84" s="292">
        <f t="shared" si="3"/>
        <v>5122.88591</v>
      </c>
    </row>
    <row r="85" spans="2:4" ht="15.75" customHeight="1">
      <c r="B85" s="385" t="s">
        <v>234</v>
      </c>
      <c r="C85" s="292">
        <v>1356.43898</v>
      </c>
      <c r="D85" s="292">
        <f t="shared" si="3"/>
        <v>5089.35905</v>
      </c>
    </row>
    <row r="86" spans="2:4" ht="15.75" customHeight="1">
      <c r="B86" s="385" t="s">
        <v>276</v>
      </c>
      <c r="C86" s="292">
        <v>1336.9485</v>
      </c>
      <c r="D86" s="292">
        <f t="shared" si="3"/>
        <v>5016.23077</v>
      </c>
    </row>
    <row r="87" spans="2:4" ht="15.75" customHeight="1">
      <c r="B87" s="385" t="s">
        <v>279</v>
      </c>
      <c r="C87" s="292">
        <v>1309.07959</v>
      </c>
      <c r="D87" s="292">
        <f t="shared" si="3"/>
        <v>4911.66662</v>
      </c>
    </row>
    <row r="88" spans="2:4" ht="15.75" customHeight="1">
      <c r="B88" s="385" t="s">
        <v>267</v>
      </c>
      <c r="C88" s="292">
        <v>1305.1466699999999</v>
      </c>
      <c r="D88" s="292">
        <f t="shared" si="3"/>
        <v>4896.91031</v>
      </c>
    </row>
    <row r="89" spans="2:4" ht="15.75" customHeight="1">
      <c r="B89" s="385" t="s">
        <v>295</v>
      </c>
      <c r="C89" s="292">
        <v>1293.67816</v>
      </c>
      <c r="D89" s="292">
        <f t="shared" si="3"/>
        <v>4853.88046</v>
      </c>
    </row>
    <row r="90" spans="2:4" ht="15.75" customHeight="1">
      <c r="B90" s="385" t="s">
        <v>190</v>
      </c>
      <c r="C90" s="292">
        <v>1195.00869</v>
      </c>
      <c r="D90" s="292">
        <f t="shared" si="3"/>
        <v>4483.6726</v>
      </c>
    </row>
    <row r="91" spans="2:4" ht="15.75" customHeight="1">
      <c r="B91" s="385" t="s">
        <v>387</v>
      </c>
      <c r="C91" s="292">
        <v>1192.8611799999999</v>
      </c>
      <c r="D91" s="292">
        <f t="shared" si="3"/>
        <v>4475.61515</v>
      </c>
    </row>
    <row r="92" spans="2:4" ht="15.75" customHeight="1">
      <c r="B92" s="385" t="s">
        <v>255</v>
      </c>
      <c r="C92" s="292">
        <v>1176.42418</v>
      </c>
      <c r="D92" s="292">
        <f t="shared" si="3"/>
        <v>4413.94352</v>
      </c>
    </row>
    <row r="93" spans="2:4" ht="15.75" customHeight="1">
      <c r="B93" s="385" t="s">
        <v>294</v>
      </c>
      <c r="C93" s="292">
        <v>1171.3206599999999</v>
      </c>
      <c r="D93" s="292">
        <f t="shared" si="3"/>
        <v>4394.79512</v>
      </c>
    </row>
    <row r="94" spans="2:4" ht="15.75" customHeight="1">
      <c r="B94" s="385" t="s">
        <v>257</v>
      </c>
      <c r="C94" s="292">
        <v>1162.31313</v>
      </c>
      <c r="D94" s="292">
        <f t="shared" si="3"/>
        <v>4360.99886</v>
      </c>
    </row>
    <row r="95" spans="2:4" ht="15.75" customHeight="1">
      <c r="B95" s="385" t="s">
        <v>290</v>
      </c>
      <c r="C95" s="292">
        <v>1155.08502</v>
      </c>
      <c r="D95" s="292">
        <f t="shared" si="3"/>
        <v>4333.879</v>
      </c>
    </row>
    <row r="96" spans="2:4" ht="15.75" customHeight="1">
      <c r="B96" s="385" t="s">
        <v>280</v>
      </c>
      <c r="C96" s="292">
        <v>1141.31717</v>
      </c>
      <c r="D96" s="292">
        <f t="shared" si="3"/>
        <v>4282.22202</v>
      </c>
    </row>
    <row r="97" spans="2:4" ht="15.75" customHeight="1">
      <c r="B97" s="385" t="s">
        <v>184</v>
      </c>
      <c r="C97" s="292">
        <v>1069.11555</v>
      </c>
      <c r="D97" s="292">
        <f t="shared" si="3"/>
        <v>4011.32154</v>
      </c>
    </row>
    <row r="98" spans="2:4" ht="15.75" customHeight="1">
      <c r="B98" s="385" t="s">
        <v>351</v>
      </c>
      <c r="C98" s="292">
        <v>1001.53893</v>
      </c>
      <c r="D98" s="292">
        <f t="shared" si="3"/>
        <v>3757.77407</v>
      </c>
    </row>
    <row r="99" spans="2:4" ht="15.75" customHeight="1">
      <c r="B99" s="385" t="s">
        <v>345</v>
      </c>
      <c r="C99" s="292">
        <v>997.55215</v>
      </c>
      <c r="D99" s="292">
        <f t="shared" si="3"/>
        <v>3742.81567</v>
      </c>
    </row>
    <row r="100" spans="2:4" ht="15.75" customHeight="1">
      <c r="B100" s="385" t="s">
        <v>304</v>
      </c>
      <c r="C100" s="292">
        <v>995.01245</v>
      </c>
      <c r="D100" s="292">
        <f t="shared" si="3"/>
        <v>3733.28671</v>
      </c>
    </row>
    <row r="101" spans="2:4" ht="15.75" customHeight="1">
      <c r="B101" s="385" t="s">
        <v>270</v>
      </c>
      <c r="C101" s="292">
        <v>981.65897</v>
      </c>
      <c r="D101" s="292">
        <f aca="true" t="shared" si="4" ref="D101:D132">ROUND(+C101*$E$9,5)</f>
        <v>3683.18446</v>
      </c>
    </row>
    <row r="102" spans="2:4" ht="15.75" customHeight="1">
      <c r="B102" s="385" t="s">
        <v>338</v>
      </c>
      <c r="C102" s="292">
        <v>826.08949</v>
      </c>
      <c r="D102" s="292">
        <f t="shared" si="4"/>
        <v>3099.48777</v>
      </c>
    </row>
    <row r="103" spans="2:4" ht="15.75" customHeight="1">
      <c r="B103" s="385" t="s">
        <v>296</v>
      </c>
      <c r="C103" s="292">
        <v>779.94882</v>
      </c>
      <c r="D103" s="292">
        <f t="shared" si="4"/>
        <v>2926.36797</v>
      </c>
    </row>
    <row r="104" spans="2:4" ht="15.75" customHeight="1">
      <c r="B104" s="385" t="s">
        <v>286</v>
      </c>
      <c r="C104" s="292">
        <v>756.91264</v>
      </c>
      <c r="D104" s="292">
        <f t="shared" si="4"/>
        <v>2839.93623</v>
      </c>
    </row>
    <row r="105" spans="2:4" ht="15.75" customHeight="1">
      <c r="B105" s="385" t="s">
        <v>266</v>
      </c>
      <c r="C105" s="292">
        <v>727.99595</v>
      </c>
      <c r="D105" s="292">
        <f t="shared" si="4"/>
        <v>2731.4408</v>
      </c>
    </row>
    <row r="106" spans="2:4" ht="15.75" customHeight="1">
      <c r="B106" s="385" t="s">
        <v>273</v>
      </c>
      <c r="C106" s="292">
        <v>716.9714399999999</v>
      </c>
      <c r="D106" s="292">
        <f t="shared" si="4"/>
        <v>2690.07684</v>
      </c>
    </row>
    <row r="107" spans="2:4" ht="15.75" customHeight="1">
      <c r="B107" s="385" t="s">
        <v>291</v>
      </c>
      <c r="C107" s="292">
        <v>687.17837</v>
      </c>
      <c r="D107" s="292">
        <f t="shared" si="4"/>
        <v>2578.29324</v>
      </c>
    </row>
    <row r="108" spans="2:4" ht="15.75" customHeight="1">
      <c r="B108" s="385" t="s">
        <v>305</v>
      </c>
      <c r="C108" s="292">
        <v>631.19333</v>
      </c>
      <c r="D108" s="292">
        <f t="shared" si="4"/>
        <v>2368.23737</v>
      </c>
    </row>
    <row r="109" spans="2:4" ht="15.75" customHeight="1">
      <c r="B109" s="385" t="s">
        <v>306</v>
      </c>
      <c r="C109" s="292">
        <v>621.3168199999999</v>
      </c>
      <c r="D109" s="292">
        <f t="shared" si="4"/>
        <v>2331.18071</v>
      </c>
    </row>
    <row r="110" spans="2:4" ht="15.75" customHeight="1">
      <c r="B110" s="385" t="s">
        <v>193</v>
      </c>
      <c r="C110" s="292">
        <v>611.47686</v>
      </c>
      <c r="D110" s="292">
        <f t="shared" si="4"/>
        <v>2294.26118</v>
      </c>
    </row>
    <row r="111" spans="2:4" ht="15.75" customHeight="1">
      <c r="B111" s="385" t="s">
        <v>353</v>
      </c>
      <c r="C111" s="292">
        <v>594.32725</v>
      </c>
      <c r="D111" s="292">
        <f t="shared" si="4"/>
        <v>2229.91584</v>
      </c>
    </row>
    <row r="112" spans="2:4" ht="15.75" customHeight="1">
      <c r="B112" s="385" t="s">
        <v>277</v>
      </c>
      <c r="C112" s="292">
        <v>574.20316</v>
      </c>
      <c r="D112" s="292">
        <f t="shared" si="4"/>
        <v>2154.41026</v>
      </c>
    </row>
    <row r="113" spans="2:4" ht="15.75" customHeight="1">
      <c r="B113" s="385" t="s">
        <v>401</v>
      </c>
      <c r="C113" s="292">
        <v>573.5437</v>
      </c>
      <c r="D113" s="292">
        <f t="shared" si="4"/>
        <v>2151.93596</v>
      </c>
    </row>
    <row r="114" spans="2:4" ht="15.75" customHeight="1">
      <c r="B114" s="385" t="s">
        <v>251</v>
      </c>
      <c r="C114" s="292">
        <v>572.90072</v>
      </c>
      <c r="D114" s="292">
        <f t="shared" si="4"/>
        <v>2149.5235</v>
      </c>
    </row>
    <row r="115" spans="2:4" ht="15.75" customHeight="1">
      <c r="B115" s="385" t="s">
        <v>182</v>
      </c>
      <c r="C115" s="292">
        <v>571.74352</v>
      </c>
      <c r="D115" s="292">
        <f t="shared" si="4"/>
        <v>2145.18169</v>
      </c>
    </row>
    <row r="116" spans="2:4" ht="15.75" customHeight="1">
      <c r="B116" s="385" t="s">
        <v>340</v>
      </c>
      <c r="C116" s="292">
        <v>561.9676800000001</v>
      </c>
      <c r="D116" s="292">
        <f t="shared" si="4"/>
        <v>2108.50274</v>
      </c>
    </row>
    <row r="117" spans="2:4" ht="15.75" customHeight="1">
      <c r="B117" s="385" t="s">
        <v>260</v>
      </c>
      <c r="C117" s="292">
        <v>543.7958199999999</v>
      </c>
      <c r="D117" s="292">
        <f t="shared" si="4"/>
        <v>2040.32192</v>
      </c>
    </row>
    <row r="118" spans="2:4" ht="15.75" customHeight="1">
      <c r="B118" s="385" t="s">
        <v>265</v>
      </c>
      <c r="C118" s="292">
        <v>542.7724599999999</v>
      </c>
      <c r="D118" s="292">
        <f t="shared" si="4"/>
        <v>2036.48227</v>
      </c>
    </row>
    <row r="119" spans="2:4" ht="15.75" customHeight="1">
      <c r="B119" s="385" t="s">
        <v>307</v>
      </c>
      <c r="C119" s="292">
        <v>528.78004</v>
      </c>
      <c r="D119" s="292">
        <f t="shared" si="4"/>
        <v>1983.98271</v>
      </c>
    </row>
    <row r="120" spans="2:4" ht="15.75" customHeight="1">
      <c r="B120" s="385" t="s">
        <v>166</v>
      </c>
      <c r="C120" s="292">
        <v>524.31882</v>
      </c>
      <c r="D120" s="292">
        <f t="shared" si="4"/>
        <v>1967.24421</v>
      </c>
    </row>
    <row r="121" spans="2:4" ht="15.75" customHeight="1">
      <c r="B121" s="385" t="s">
        <v>326</v>
      </c>
      <c r="C121" s="292">
        <v>512.9217600000001</v>
      </c>
      <c r="D121" s="292">
        <f t="shared" si="4"/>
        <v>1924.48244</v>
      </c>
    </row>
    <row r="122" spans="2:4" ht="15.75" customHeight="1">
      <c r="B122" s="385" t="s">
        <v>397</v>
      </c>
      <c r="C122" s="292">
        <v>479.76478000000003</v>
      </c>
      <c r="D122" s="292">
        <f t="shared" si="4"/>
        <v>1800.07745</v>
      </c>
    </row>
    <row r="123" spans="2:4" ht="15.75" customHeight="1">
      <c r="B123" s="385" t="s">
        <v>402</v>
      </c>
      <c r="C123" s="292">
        <v>456.12412</v>
      </c>
      <c r="D123" s="292">
        <f t="shared" si="4"/>
        <v>1711.3777</v>
      </c>
    </row>
    <row r="124" spans="2:4" ht="15.75" customHeight="1">
      <c r="B124" s="385" t="s">
        <v>201</v>
      </c>
      <c r="C124" s="292">
        <v>405.36917</v>
      </c>
      <c r="D124" s="292">
        <f t="shared" si="4"/>
        <v>1520.94513</v>
      </c>
    </row>
    <row r="125" spans="2:4" ht="15.75" customHeight="1">
      <c r="B125" s="385" t="s">
        <v>202</v>
      </c>
      <c r="C125" s="292">
        <v>403.52851</v>
      </c>
      <c r="D125" s="292">
        <f t="shared" si="4"/>
        <v>1514.03897</v>
      </c>
    </row>
    <row r="126" spans="2:4" ht="15.75" customHeight="1">
      <c r="B126" s="385" t="s">
        <v>261</v>
      </c>
      <c r="C126" s="292">
        <v>399.76409</v>
      </c>
      <c r="D126" s="292">
        <f t="shared" si="4"/>
        <v>1499.91487</v>
      </c>
    </row>
    <row r="127" spans="2:4" ht="15.75" customHeight="1">
      <c r="B127" s="385" t="s">
        <v>269</v>
      </c>
      <c r="C127" s="292">
        <v>384.10524</v>
      </c>
      <c r="D127" s="292">
        <f t="shared" si="4"/>
        <v>1441.16286</v>
      </c>
    </row>
    <row r="128" spans="2:4" ht="15.75" customHeight="1">
      <c r="B128" s="385" t="s">
        <v>354</v>
      </c>
      <c r="C128" s="292">
        <v>380.17815</v>
      </c>
      <c r="D128" s="292">
        <f t="shared" si="4"/>
        <v>1426.42842</v>
      </c>
    </row>
    <row r="129" spans="2:4" ht="15.75" customHeight="1">
      <c r="B129" s="385" t="s">
        <v>327</v>
      </c>
      <c r="C129" s="292">
        <v>372.521</v>
      </c>
      <c r="D129" s="292">
        <f t="shared" si="4"/>
        <v>1397.69879</v>
      </c>
    </row>
    <row r="130" spans="2:4" ht="15.75" customHeight="1">
      <c r="B130" s="385" t="s">
        <v>268</v>
      </c>
      <c r="C130" s="292">
        <v>371.16368</v>
      </c>
      <c r="D130" s="292">
        <f t="shared" si="4"/>
        <v>1392.60613</v>
      </c>
    </row>
    <row r="131" spans="2:4" ht="15.75" customHeight="1">
      <c r="B131" s="385" t="s">
        <v>297</v>
      </c>
      <c r="C131" s="292">
        <v>367.26464</v>
      </c>
      <c r="D131" s="292">
        <f t="shared" si="4"/>
        <v>1377.97693</v>
      </c>
    </row>
    <row r="132" spans="2:4" ht="15.75" customHeight="1">
      <c r="B132" s="385" t="s">
        <v>328</v>
      </c>
      <c r="C132" s="292">
        <v>353.02584</v>
      </c>
      <c r="D132" s="292">
        <f t="shared" si="4"/>
        <v>1324.55295</v>
      </c>
    </row>
    <row r="133" spans="2:4" ht="15.75" customHeight="1">
      <c r="B133" s="385" t="s">
        <v>203</v>
      </c>
      <c r="C133" s="292">
        <v>348.86303000000004</v>
      </c>
      <c r="D133" s="292">
        <f aca="true" t="shared" si="5" ref="D133:D163">ROUND(+C133*$E$9,5)</f>
        <v>1308.93409</v>
      </c>
    </row>
    <row r="134" spans="2:4" ht="15.75" customHeight="1">
      <c r="B134" s="385" t="s">
        <v>186</v>
      </c>
      <c r="C134" s="292">
        <v>332.25915999999995</v>
      </c>
      <c r="D134" s="292">
        <f t="shared" si="5"/>
        <v>1246.63637</v>
      </c>
    </row>
    <row r="135" spans="2:4" ht="15.75" customHeight="1">
      <c r="B135" s="385" t="s">
        <v>187</v>
      </c>
      <c r="C135" s="292">
        <v>326.68203000000005</v>
      </c>
      <c r="D135" s="292">
        <f t="shared" si="5"/>
        <v>1225.71098</v>
      </c>
    </row>
    <row r="136" spans="2:4" ht="15.75" customHeight="1">
      <c r="B136" s="385" t="s">
        <v>195</v>
      </c>
      <c r="C136" s="292">
        <v>305.90964</v>
      </c>
      <c r="D136" s="292">
        <f t="shared" si="5"/>
        <v>1147.77297</v>
      </c>
    </row>
    <row r="137" spans="2:4" ht="15.75" customHeight="1">
      <c r="B137" s="385" t="s">
        <v>319</v>
      </c>
      <c r="C137" s="292">
        <v>305.50029</v>
      </c>
      <c r="D137" s="292">
        <f t="shared" si="5"/>
        <v>1146.23709</v>
      </c>
    </row>
    <row r="138" spans="2:4" ht="15.75" customHeight="1">
      <c r="B138" s="385" t="s">
        <v>299</v>
      </c>
      <c r="C138" s="292">
        <v>297.50197</v>
      </c>
      <c r="D138" s="292">
        <f t="shared" si="5"/>
        <v>1116.22739</v>
      </c>
    </row>
    <row r="139" spans="2:4" ht="15.75" customHeight="1">
      <c r="B139" s="385" t="s">
        <v>329</v>
      </c>
      <c r="C139" s="292">
        <v>295.52731</v>
      </c>
      <c r="D139" s="292">
        <f t="shared" si="5"/>
        <v>1108.81847</v>
      </c>
    </row>
    <row r="140" spans="2:4" ht="15.75" customHeight="1">
      <c r="B140" s="385" t="s">
        <v>196</v>
      </c>
      <c r="C140" s="292">
        <v>291.50262</v>
      </c>
      <c r="D140" s="292">
        <f t="shared" si="5"/>
        <v>1093.71783</v>
      </c>
    </row>
    <row r="141" spans="2:4" ht="15.75" customHeight="1">
      <c r="B141" s="385" t="s">
        <v>409</v>
      </c>
      <c r="C141" s="292">
        <v>282.45576</v>
      </c>
      <c r="D141" s="292">
        <f t="shared" si="5"/>
        <v>1059.77401</v>
      </c>
    </row>
    <row r="142" spans="2:4" ht="15.75" customHeight="1">
      <c r="B142" s="385" t="s">
        <v>262</v>
      </c>
      <c r="C142" s="292">
        <v>268.38897</v>
      </c>
      <c r="D142" s="292">
        <f t="shared" si="5"/>
        <v>1006.99542</v>
      </c>
    </row>
    <row r="143" spans="2:4" ht="15.75" customHeight="1">
      <c r="B143" s="385" t="s">
        <v>410</v>
      </c>
      <c r="C143" s="292">
        <v>262.52665</v>
      </c>
      <c r="D143" s="292">
        <f t="shared" si="5"/>
        <v>984.99999</v>
      </c>
    </row>
    <row r="144" spans="2:4" ht="15.75" customHeight="1">
      <c r="B144" s="385" t="s">
        <v>330</v>
      </c>
      <c r="C144" s="292">
        <v>255.88691</v>
      </c>
      <c r="D144" s="292">
        <f t="shared" si="5"/>
        <v>960.08769</v>
      </c>
    </row>
    <row r="145" spans="2:4" ht="15.75" customHeight="1">
      <c r="B145" s="385" t="s">
        <v>233</v>
      </c>
      <c r="C145" s="292">
        <v>254.52168</v>
      </c>
      <c r="D145" s="292">
        <f t="shared" si="5"/>
        <v>954.96534</v>
      </c>
    </row>
    <row r="146" spans="2:4" ht="15.75" customHeight="1">
      <c r="B146" s="385" t="s">
        <v>250</v>
      </c>
      <c r="C146" s="292">
        <v>247.66674</v>
      </c>
      <c r="D146" s="292">
        <f t="shared" si="5"/>
        <v>929.24561</v>
      </c>
    </row>
    <row r="147" spans="2:4" ht="15.75" customHeight="1">
      <c r="B147" s="385" t="s">
        <v>320</v>
      </c>
      <c r="C147" s="292">
        <v>215.29480999999998</v>
      </c>
      <c r="D147" s="292">
        <f t="shared" si="5"/>
        <v>807.78613</v>
      </c>
    </row>
    <row r="148" spans="2:4" ht="15.75" customHeight="1">
      <c r="B148" s="385" t="s">
        <v>185</v>
      </c>
      <c r="C148" s="292">
        <v>210.14579999999998</v>
      </c>
      <c r="D148" s="292">
        <f t="shared" si="5"/>
        <v>788.46704</v>
      </c>
    </row>
    <row r="149" spans="2:4" ht="15.75" customHeight="1">
      <c r="B149" s="385" t="s">
        <v>321</v>
      </c>
      <c r="C149" s="292">
        <v>193.88101</v>
      </c>
      <c r="D149" s="292">
        <f t="shared" si="5"/>
        <v>727.44155</v>
      </c>
    </row>
    <row r="150" spans="2:4" ht="15.75" customHeight="1">
      <c r="B150" s="385" t="s">
        <v>200</v>
      </c>
      <c r="C150" s="292">
        <v>180.90535999999997</v>
      </c>
      <c r="D150" s="292">
        <f t="shared" si="5"/>
        <v>678.75691</v>
      </c>
    </row>
    <row r="151" spans="2:4" ht="15.75" customHeight="1">
      <c r="B151" s="385" t="s">
        <v>189</v>
      </c>
      <c r="C151" s="292">
        <v>168.52759</v>
      </c>
      <c r="D151" s="292">
        <f t="shared" si="5"/>
        <v>632.31552</v>
      </c>
    </row>
    <row r="152" spans="2:4" ht="15.75" customHeight="1">
      <c r="B152" s="385" t="s">
        <v>272</v>
      </c>
      <c r="C152" s="292">
        <v>161.22113000000002</v>
      </c>
      <c r="D152" s="292">
        <f t="shared" si="5"/>
        <v>604.90168</v>
      </c>
    </row>
    <row r="153" spans="2:4" ht="15.75" customHeight="1">
      <c r="B153" s="385" t="s">
        <v>309</v>
      </c>
      <c r="C153" s="292">
        <v>157.04545000000002</v>
      </c>
      <c r="D153" s="292">
        <f t="shared" si="5"/>
        <v>589.23453</v>
      </c>
    </row>
    <row r="154" spans="2:4" ht="15.75" customHeight="1">
      <c r="B154" s="385" t="s">
        <v>331</v>
      </c>
      <c r="C154" s="292">
        <v>151.98613</v>
      </c>
      <c r="D154" s="292">
        <f t="shared" si="5"/>
        <v>570.25196</v>
      </c>
    </row>
    <row r="155" spans="2:4" ht="15.75" customHeight="1">
      <c r="B155" s="385" t="s">
        <v>308</v>
      </c>
      <c r="C155" s="292">
        <v>148.19989999999999</v>
      </c>
      <c r="D155" s="292">
        <f t="shared" si="5"/>
        <v>556.04602</v>
      </c>
    </row>
    <row r="156" spans="2:4" ht="15.75" customHeight="1">
      <c r="B156" s="385" t="s">
        <v>281</v>
      </c>
      <c r="C156" s="292">
        <v>138.39646</v>
      </c>
      <c r="D156" s="292">
        <f t="shared" si="5"/>
        <v>519.26352</v>
      </c>
    </row>
    <row r="157" spans="2:4" ht="15.75" customHeight="1">
      <c r="B157" s="385" t="s">
        <v>318</v>
      </c>
      <c r="C157" s="292">
        <v>133.5472</v>
      </c>
      <c r="D157" s="292">
        <f t="shared" si="5"/>
        <v>501.06909</v>
      </c>
    </row>
    <row r="158" spans="2:4" ht="15.75" customHeight="1">
      <c r="B158" s="385" t="s">
        <v>191</v>
      </c>
      <c r="C158" s="292">
        <v>129.4534</v>
      </c>
      <c r="D158" s="292">
        <f t="shared" si="5"/>
        <v>485.70916</v>
      </c>
    </row>
    <row r="159" spans="2:4" ht="15.75" customHeight="1">
      <c r="B159" s="385" t="s">
        <v>411</v>
      </c>
      <c r="C159" s="292">
        <v>124.46695</v>
      </c>
      <c r="D159" s="292">
        <f t="shared" si="5"/>
        <v>467</v>
      </c>
    </row>
    <row r="160" spans="2:4" ht="15.75" customHeight="1">
      <c r="B160" s="385" t="s">
        <v>194</v>
      </c>
      <c r="C160" s="292">
        <v>115.54386</v>
      </c>
      <c r="D160" s="292">
        <f t="shared" si="5"/>
        <v>433.52056</v>
      </c>
    </row>
    <row r="161" spans="2:4" ht="15.75" customHeight="1">
      <c r="B161" s="385" t="s">
        <v>188</v>
      </c>
      <c r="C161" s="292">
        <v>104.05939</v>
      </c>
      <c r="D161" s="292">
        <f t="shared" si="5"/>
        <v>390.43083</v>
      </c>
    </row>
    <row r="162" spans="2:4" ht="15.75" customHeight="1">
      <c r="B162" s="385" t="s">
        <v>181</v>
      </c>
      <c r="C162" s="292">
        <v>104.03552</v>
      </c>
      <c r="D162" s="292">
        <f t="shared" si="5"/>
        <v>390.34127</v>
      </c>
    </row>
    <row r="163" spans="2:4" s="162" customFormat="1" ht="15.75" customHeight="1">
      <c r="B163" s="385" t="s">
        <v>94</v>
      </c>
      <c r="C163" s="292">
        <v>598.10956</v>
      </c>
      <c r="D163" s="292">
        <f t="shared" si="5"/>
        <v>2244.10707</v>
      </c>
    </row>
    <row r="164" spans="1:4" s="190" customFormat="1" ht="12" customHeight="1">
      <c r="A164" s="72"/>
      <c r="B164" s="385"/>
      <c r="C164" s="292"/>
      <c r="D164" s="292"/>
    </row>
    <row r="165" spans="1:4" s="190" customFormat="1" ht="15.75" customHeight="1">
      <c r="A165" s="72"/>
      <c r="B165" s="94" t="s">
        <v>228</v>
      </c>
      <c r="C165" s="89">
        <f>SUM(C167:C168)</f>
        <v>10632.618190000001</v>
      </c>
      <c r="D165" s="89">
        <f>SUM(D167:D168)</f>
        <v>39893.58345</v>
      </c>
    </row>
    <row r="166" spans="1:4" s="190" customFormat="1" ht="7.5" customHeight="1">
      <c r="A166" s="72"/>
      <c r="B166" s="95"/>
      <c r="C166" s="89"/>
      <c r="D166" s="96"/>
    </row>
    <row r="167" spans="1:4" s="190" customFormat="1" ht="15.75" customHeight="1">
      <c r="A167" s="72"/>
      <c r="B167" s="330" t="s">
        <v>227</v>
      </c>
      <c r="C167" s="292">
        <v>10632.61813</v>
      </c>
      <c r="D167" s="294">
        <f>ROUND(+C167*$E$9,5)</f>
        <v>39893.58322</v>
      </c>
    </row>
    <row r="168" spans="1:4" s="190" customFormat="1" ht="15.75" customHeight="1">
      <c r="A168" s="72"/>
      <c r="B168" s="330" t="s">
        <v>263</v>
      </c>
      <c r="C168" s="292">
        <v>5.9999999999999995E-05</v>
      </c>
      <c r="D168" s="294">
        <f>ROUND(+C168*$E$9,5)</f>
        <v>0.00023</v>
      </c>
    </row>
    <row r="169" spans="1:4" s="190" customFormat="1" ht="16.5" customHeight="1">
      <c r="A169" s="72"/>
      <c r="B169" s="75"/>
      <c r="C169" s="293"/>
      <c r="D169" s="295"/>
    </row>
    <row r="170" spans="1:4" s="190" customFormat="1" ht="16.5" customHeight="1">
      <c r="A170" s="72"/>
      <c r="B170" s="497" t="s">
        <v>14</v>
      </c>
      <c r="C170" s="495">
        <f>+C35+C15+C165</f>
        <v>933480.8900699997</v>
      </c>
      <c r="D170" s="495">
        <f>+D35+D15+D165</f>
        <v>3502420.299539998</v>
      </c>
    </row>
    <row r="171" spans="1:4" s="187" customFormat="1" ht="16.5" customHeight="1">
      <c r="A171" s="69"/>
      <c r="B171" s="498"/>
      <c r="C171" s="496"/>
      <c r="D171" s="496"/>
    </row>
    <row r="172" spans="1:4" s="187" customFormat="1" ht="7.5" customHeight="1">
      <c r="A172" s="69"/>
      <c r="B172" s="76"/>
      <c r="C172" s="77"/>
      <c r="D172" s="77"/>
    </row>
    <row r="173" spans="1:4" s="187" customFormat="1" ht="15" customHeight="1">
      <c r="A173" s="69"/>
      <c r="B173" s="73" t="s">
        <v>154</v>
      </c>
      <c r="C173" s="409"/>
      <c r="D173" s="171"/>
    </row>
    <row r="174" spans="1:4" s="188" customFormat="1" ht="15">
      <c r="A174" s="70"/>
      <c r="B174" s="73" t="s">
        <v>155</v>
      </c>
      <c r="C174" s="169"/>
      <c r="D174" s="170"/>
    </row>
    <row r="175" spans="1:4" s="187" customFormat="1" ht="15">
      <c r="A175" s="69"/>
      <c r="B175" s="78" t="s">
        <v>156</v>
      </c>
      <c r="C175" s="161"/>
      <c r="D175" s="105"/>
    </row>
    <row r="176" spans="1:4" s="189" customFormat="1" ht="15">
      <c r="A176" s="68"/>
      <c r="B176" s="78" t="s">
        <v>157</v>
      </c>
      <c r="C176" s="78"/>
      <c r="D176" s="78"/>
    </row>
    <row r="177" spans="1:4" s="189" customFormat="1" ht="15" customHeight="1">
      <c r="A177" s="68"/>
      <c r="B177" s="501" t="s">
        <v>412</v>
      </c>
      <c r="C177" s="501"/>
      <c r="D177" s="501"/>
    </row>
    <row r="178" spans="1:4" s="189" customFormat="1" ht="15" customHeight="1">
      <c r="A178" s="68"/>
      <c r="B178" s="505" t="s">
        <v>229</v>
      </c>
      <c r="C178" s="505"/>
      <c r="D178" s="505"/>
    </row>
    <row r="179" spans="1:4" s="189" customFormat="1" ht="15" customHeight="1">
      <c r="A179" s="68"/>
      <c r="B179" s="343"/>
      <c r="C179" s="344"/>
      <c r="D179" s="344"/>
    </row>
    <row r="180" spans="1:4" s="189" customFormat="1" ht="15">
      <c r="A180" s="68"/>
      <c r="B180" s="343"/>
      <c r="C180" s="345"/>
      <c r="D180" s="345"/>
    </row>
    <row r="181" spans="1:4" s="187" customFormat="1" ht="15" customHeight="1">
      <c r="A181" s="69"/>
      <c r="B181" s="346"/>
      <c r="C181" s="347"/>
      <c r="D181" s="347"/>
    </row>
    <row r="182" spans="1:4" s="187" customFormat="1" ht="15" customHeight="1">
      <c r="A182" s="69"/>
      <c r="B182" s="80" t="s">
        <v>106</v>
      </c>
      <c r="C182" s="87"/>
      <c r="D182" s="87"/>
    </row>
    <row r="183" spans="1:4" s="187" customFormat="1" ht="18">
      <c r="A183" s="69"/>
      <c r="B183" s="128" t="s">
        <v>240</v>
      </c>
      <c r="C183" s="88"/>
      <c r="D183" s="88"/>
    </row>
    <row r="184" spans="1:4" s="187" customFormat="1" ht="15" customHeight="1">
      <c r="A184" s="69"/>
      <c r="B184" s="291" t="s">
        <v>66</v>
      </c>
      <c r="C184" s="88"/>
      <c r="D184" s="88"/>
    </row>
    <row r="185" spans="1:4" s="187" customFormat="1" ht="15.75" customHeight="1">
      <c r="A185" s="69"/>
      <c r="B185" s="291" t="s">
        <v>99</v>
      </c>
      <c r="C185" s="88"/>
      <c r="D185" s="88"/>
    </row>
    <row r="186" spans="1:4" s="187" customFormat="1" ht="15.75" customHeight="1">
      <c r="A186" s="69"/>
      <c r="B186" s="264" t="str">
        <f>+B9</f>
        <v>Al 30 de abril de 2024</v>
      </c>
      <c r="C186" s="264"/>
      <c r="D186" s="87"/>
    </row>
    <row r="187" spans="1:4" s="187" customFormat="1" ht="7.5" customHeight="1">
      <c r="A187" s="69"/>
      <c r="B187" s="205"/>
      <c r="C187" s="216"/>
      <c r="D187" s="216"/>
    </row>
    <row r="188" spans="1:4" s="187" customFormat="1" ht="12" customHeight="1">
      <c r="A188" s="69"/>
      <c r="B188" s="502" t="s">
        <v>97</v>
      </c>
      <c r="C188" s="489" t="s">
        <v>53</v>
      </c>
      <c r="D188" s="492" t="s">
        <v>130</v>
      </c>
    </row>
    <row r="189" spans="1:4" s="187" customFormat="1" ht="12" customHeight="1">
      <c r="A189" s="69"/>
      <c r="B189" s="503"/>
      <c r="C189" s="490"/>
      <c r="D189" s="493"/>
    </row>
    <row r="190" spans="1:4" s="187" customFormat="1" ht="12" customHeight="1">
      <c r="A190" s="69"/>
      <c r="B190" s="504"/>
      <c r="C190" s="491"/>
      <c r="D190" s="494"/>
    </row>
    <row r="191" spans="1:4" s="187" customFormat="1" ht="9.75" customHeight="1">
      <c r="A191" s="69"/>
      <c r="B191" s="206"/>
      <c r="C191" s="218"/>
      <c r="D191" s="219"/>
    </row>
    <row r="192" spans="1:4" s="187" customFormat="1" ht="20.25" customHeight="1">
      <c r="A192" s="69"/>
      <c r="B192" s="92" t="s">
        <v>119</v>
      </c>
      <c r="C192" s="89">
        <v>0</v>
      </c>
      <c r="D192" s="89">
        <v>0</v>
      </c>
    </row>
    <row r="193" spans="1:4" s="187" customFormat="1" ht="7.5" customHeight="1">
      <c r="A193" s="69"/>
      <c r="B193" s="92"/>
      <c r="C193" s="89"/>
      <c r="D193" s="89"/>
    </row>
    <row r="194" spans="1:4" s="187" customFormat="1" ht="12" customHeight="1">
      <c r="A194" s="69"/>
      <c r="B194" s="386"/>
      <c r="C194" s="293"/>
      <c r="D194" s="293"/>
    </row>
    <row r="195" spans="1:4" s="187" customFormat="1" ht="20.25" customHeight="1">
      <c r="A195" s="69"/>
      <c r="B195" s="387" t="s">
        <v>113</v>
      </c>
      <c r="C195" s="420">
        <f>SUM(C197:C260)</f>
        <v>30432.927449999996</v>
      </c>
      <c r="D195" s="420">
        <f>SUM(D197:D260)</f>
        <v>114184.34377</v>
      </c>
    </row>
    <row r="196" spans="2:4" ht="7.5" customHeight="1">
      <c r="B196" s="388"/>
      <c r="C196" s="89"/>
      <c r="D196" s="293"/>
    </row>
    <row r="197" spans="2:4" ht="15.75" customHeight="1">
      <c r="B197" s="385" t="s">
        <v>165</v>
      </c>
      <c r="C197" s="419">
        <v>10004.94698</v>
      </c>
      <c r="D197" s="419">
        <f aca="true" t="shared" si="6" ref="D197:D228">ROUND(+C197*$E$9,5)</f>
        <v>37538.56107</v>
      </c>
    </row>
    <row r="198" spans="2:4" ht="15.75" customHeight="1">
      <c r="B198" s="385" t="s">
        <v>413</v>
      </c>
      <c r="C198" s="419">
        <v>747.8806</v>
      </c>
      <c r="D198" s="419">
        <f t="shared" si="6"/>
        <v>2806.04801</v>
      </c>
    </row>
    <row r="199" spans="2:4" ht="15.75" customHeight="1">
      <c r="B199" s="385" t="s">
        <v>175</v>
      </c>
      <c r="C199" s="419">
        <v>647.6285</v>
      </c>
      <c r="D199" s="419">
        <f t="shared" si="6"/>
        <v>2429.90213</v>
      </c>
    </row>
    <row r="200" spans="2:4" ht="15.75" customHeight="1">
      <c r="B200" s="385" t="s">
        <v>355</v>
      </c>
      <c r="C200" s="419">
        <v>576.20487</v>
      </c>
      <c r="D200" s="419">
        <f t="shared" si="6"/>
        <v>2161.92067</v>
      </c>
    </row>
    <row r="201" spans="2:4" ht="15.75" customHeight="1">
      <c r="B201" s="385" t="s">
        <v>332</v>
      </c>
      <c r="C201" s="419">
        <v>569.58064</v>
      </c>
      <c r="D201" s="419">
        <f t="shared" si="6"/>
        <v>2137.06656</v>
      </c>
    </row>
    <row r="202" spans="2:4" ht="15.75" customHeight="1">
      <c r="B202" s="385" t="s">
        <v>356</v>
      </c>
      <c r="C202" s="419">
        <v>559.95157</v>
      </c>
      <c r="D202" s="419">
        <f t="shared" si="6"/>
        <v>2100.93829</v>
      </c>
    </row>
    <row r="203" spans="2:4" ht="15.75" customHeight="1">
      <c r="B203" s="385" t="s">
        <v>300</v>
      </c>
      <c r="C203" s="419">
        <v>548.26676</v>
      </c>
      <c r="D203" s="419">
        <f t="shared" si="6"/>
        <v>2057.09688</v>
      </c>
    </row>
    <row r="204" spans="2:4" ht="15.75" customHeight="1">
      <c r="B204" s="385" t="s">
        <v>414</v>
      </c>
      <c r="C204" s="419">
        <v>499.96681</v>
      </c>
      <c r="D204" s="419">
        <f t="shared" si="6"/>
        <v>1875.87547</v>
      </c>
    </row>
    <row r="205" spans="2:4" ht="15.75" customHeight="1">
      <c r="B205" s="385" t="s">
        <v>341</v>
      </c>
      <c r="C205" s="419">
        <v>474.99485</v>
      </c>
      <c r="D205" s="419">
        <f t="shared" si="6"/>
        <v>1782.18068</v>
      </c>
    </row>
    <row r="206" spans="2:4" ht="15.75" customHeight="1">
      <c r="B206" s="385" t="s">
        <v>415</v>
      </c>
      <c r="C206" s="419">
        <v>473.19120000000004</v>
      </c>
      <c r="D206" s="419">
        <f t="shared" si="6"/>
        <v>1775.41338</v>
      </c>
    </row>
    <row r="207" spans="2:4" ht="15.75" customHeight="1">
      <c r="B207" s="385" t="s">
        <v>298</v>
      </c>
      <c r="C207" s="419">
        <v>469.3628</v>
      </c>
      <c r="D207" s="419">
        <f t="shared" si="6"/>
        <v>1761.04923</v>
      </c>
    </row>
    <row r="208" spans="2:4" ht="15.75" customHeight="1">
      <c r="B208" s="385" t="s">
        <v>357</v>
      </c>
      <c r="C208" s="419">
        <v>468.0587</v>
      </c>
      <c r="D208" s="419">
        <f t="shared" si="6"/>
        <v>1756.15624</v>
      </c>
    </row>
    <row r="209" spans="2:4" ht="15.75" customHeight="1">
      <c r="B209" s="385" t="s">
        <v>347</v>
      </c>
      <c r="C209" s="419">
        <v>449.58790000000005</v>
      </c>
      <c r="D209" s="419">
        <f t="shared" si="6"/>
        <v>1686.8538</v>
      </c>
    </row>
    <row r="210" spans="2:4" ht="15.75" customHeight="1">
      <c r="B210" s="385" t="s">
        <v>310</v>
      </c>
      <c r="C210" s="419">
        <v>411.13212</v>
      </c>
      <c r="D210" s="419">
        <f t="shared" si="6"/>
        <v>1542.56771</v>
      </c>
    </row>
    <row r="211" spans="2:4" ht="15.75" customHeight="1">
      <c r="B211" s="385" t="s">
        <v>311</v>
      </c>
      <c r="C211" s="419">
        <v>388.72540999999995</v>
      </c>
      <c r="D211" s="419">
        <f t="shared" si="6"/>
        <v>1458.49774</v>
      </c>
    </row>
    <row r="212" spans="2:4" ht="15.75" customHeight="1">
      <c r="B212" s="413" t="s">
        <v>349</v>
      </c>
      <c r="C212" s="419">
        <v>383.66731</v>
      </c>
      <c r="D212" s="419">
        <f t="shared" si="6"/>
        <v>1439.51975</v>
      </c>
    </row>
    <row r="213" spans="2:4" ht="15.75" customHeight="1">
      <c r="B213" s="413" t="s">
        <v>416</v>
      </c>
      <c r="C213" s="419">
        <v>373.13433000000003</v>
      </c>
      <c r="D213" s="419">
        <f t="shared" si="6"/>
        <v>1400.00001</v>
      </c>
    </row>
    <row r="214" spans="2:4" ht="15.75" customHeight="1">
      <c r="B214" s="385" t="s">
        <v>358</v>
      </c>
      <c r="C214" s="419">
        <v>372.79642</v>
      </c>
      <c r="D214" s="419">
        <f t="shared" si="6"/>
        <v>1398.73217</v>
      </c>
    </row>
    <row r="215" spans="2:4" ht="15.75" customHeight="1">
      <c r="B215" s="385" t="s">
        <v>359</v>
      </c>
      <c r="C215" s="419">
        <v>357.39499</v>
      </c>
      <c r="D215" s="419">
        <f t="shared" si="6"/>
        <v>1340.946</v>
      </c>
    </row>
    <row r="216" spans="2:4" ht="15.75" customHeight="1">
      <c r="B216" s="413" t="s">
        <v>303</v>
      </c>
      <c r="C216" s="419">
        <v>356.68948</v>
      </c>
      <c r="D216" s="419">
        <f t="shared" si="6"/>
        <v>1338.29893</v>
      </c>
    </row>
    <row r="217" spans="2:4" ht="15.75" customHeight="1">
      <c r="B217" s="385" t="s">
        <v>348</v>
      </c>
      <c r="C217" s="419">
        <v>345.97639000000004</v>
      </c>
      <c r="D217" s="419">
        <f t="shared" si="6"/>
        <v>1298.10342</v>
      </c>
    </row>
    <row r="218" spans="2:4" ht="15.75" customHeight="1">
      <c r="B218" s="385" t="s">
        <v>322</v>
      </c>
      <c r="C218" s="419">
        <v>337.53378000000004</v>
      </c>
      <c r="D218" s="419">
        <f t="shared" si="6"/>
        <v>1266.42674</v>
      </c>
    </row>
    <row r="219" spans="2:4" ht="15.75" customHeight="1">
      <c r="B219" s="413" t="s">
        <v>361</v>
      </c>
      <c r="C219" s="419">
        <v>320.52452</v>
      </c>
      <c r="D219" s="419">
        <f t="shared" si="6"/>
        <v>1202.608</v>
      </c>
    </row>
    <row r="220" spans="2:4" ht="15.75" customHeight="1">
      <c r="B220" s="413" t="s">
        <v>314</v>
      </c>
      <c r="C220" s="419">
        <v>310.68383</v>
      </c>
      <c r="D220" s="419">
        <f t="shared" si="6"/>
        <v>1165.68573</v>
      </c>
    </row>
    <row r="221" spans="2:4" ht="15.75" customHeight="1">
      <c r="B221" s="413" t="s">
        <v>417</v>
      </c>
      <c r="C221" s="419">
        <v>300.28544</v>
      </c>
      <c r="D221" s="419">
        <f t="shared" si="6"/>
        <v>1126.67097</v>
      </c>
    </row>
    <row r="222" spans="2:4" ht="15.75" customHeight="1">
      <c r="B222" s="413" t="s">
        <v>367</v>
      </c>
      <c r="C222" s="419">
        <v>294.6379</v>
      </c>
      <c r="D222" s="419">
        <f t="shared" si="6"/>
        <v>1105.4814</v>
      </c>
    </row>
    <row r="223" spans="2:4" ht="15.75" customHeight="1">
      <c r="B223" s="413" t="s">
        <v>362</v>
      </c>
      <c r="C223" s="419">
        <v>289.92152000000004</v>
      </c>
      <c r="D223" s="419">
        <f t="shared" si="6"/>
        <v>1087.78554</v>
      </c>
    </row>
    <row r="224" spans="2:4" ht="15.75" customHeight="1">
      <c r="B224" s="413" t="s">
        <v>308</v>
      </c>
      <c r="C224" s="419">
        <v>284.11802</v>
      </c>
      <c r="D224" s="419">
        <f t="shared" si="6"/>
        <v>1066.01081</v>
      </c>
    </row>
    <row r="225" spans="2:4" ht="15.75" customHeight="1">
      <c r="B225" s="413" t="s">
        <v>360</v>
      </c>
      <c r="C225" s="419">
        <v>283.77495</v>
      </c>
      <c r="D225" s="419">
        <f t="shared" si="6"/>
        <v>1064.72361</v>
      </c>
    </row>
    <row r="226" spans="2:4" ht="15.75" customHeight="1">
      <c r="B226" s="413" t="s">
        <v>363</v>
      </c>
      <c r="C226" s="419">
        <v>280.72039</v>
      </c>
      <c r="D226" s="419">
        <f t="shared" si="6"/>
        <v>1053.2629</v>
      </c>
    </row>
    <row r="227" spans="2:4" ht="15.75" customHeight="1">
      <c r="B227" s="385" t="s">
        <v>312</v>
      </c>
      <c r="C227" s="419">
        <v>269.73134000000005</v>
      </c>
      <c r="D227" s="419">
        <f t="shared" si="6"/>
        <v>1012.03199</v>
      </c>
    </row>
    <row r="228" spans="2:4" ht="15.75" customHeight="1">
      <c r="B228" s="413" t="s">
        <v>342</v>
      </c>
      <c r="C228" s="419">
        <v>257.45736</v>
      </c>
      <c r="D228" s="419">
        <f t="shared" si="6"/>
        <v>965.98001</v>
      </c>
    </row>
    <row r="229" spans="2:4" ht="15.75" customHeight="1">
      <c r="B229" s="413" t="s">
        <v>398</v>
      </c>
      <c r="C229" s="419">
        <v>253.92009</v>
      </c>
      <c r="D229" s="419">
        <f aca="true" t="shared" si="7" ref="D229:D260">ROUND(+C229*$E$9,5)</f>
        <v>952.70818</v>
      </c>
    </row>
    <row r="230" spans="2:4" ht="15.75" customHeight="1">
      <c r="B230" s="413" t="s">
        <v>364</v>
      </c>
      <c r="C230" s="419">
        <v>243.37726</v>
      </c>
      <c r="D230" s="419">
        <f t="shared" si="7"/>
        <v>913.15148</v>
      </c>
    </row>
    <row r="231" spans="2:4" ht="15.75" customHeight="1">
      <c r="B231" s="413" t="s">
        <v>368</v>
      </c>
      <c r="C231" s="419">
        <v>242.90745</v>
      </c>
      <c r="D231" s="419">
        <f t="shared" si="7"/>
        <v>911.38875</v>
      </c>
    </row>
    <row r="232" spans="2:4" ht="15.75" customHeight="1">
      <c r="B232" s="413" t="s">
        <v>389</v>
      </c>
      <c r="C232" s="419">
        <v>242.19375</v>
      </c>
      <c r="D232" s="419">
        <f t="shared" si="7"/>
        <v>908.71095</v>
      </c>
    </row>
    <row r="233" spans="2:4" ht="15.75" customHeight="1">
      <c r="B233" s="413" t="s">
        <v>365</v>
      </c>
      <c r="C233" s="419">
        <v>240.38223000000002</v>
      </c>
      <c r="D233" s="419">
        <f t="shared" si="7"/>
        <v>901.91413</v>
      </c>
    </row>
    <row r="234" spans="2:4" ht="15.75" customHeight="1">
      <c r="B234" s="385" t="s">
        <v>403</v>
      </c>
      <c r="C234" s="419">
        <v>232.92873</v>
      </c>
      <c r="D234" s="419">
        <f t="shared" si="7"/>
        <v>873.94859</v>
      </c>
    </row>
    <row r="235" spans="2:4" ht="15.75" customHeight="1">
      <c r="B235" s="413" t="s">
        <v>366</v>
      </c>
      <c r="C235" s="419">
        <v>231.48619</v>
      </c>
      <c r="D235" s="419">
        <f t="shared" si="7"/>
        <v>868.53618</v>
      </c>
    </row>
    <row r="236" spans="2:4" ht="15.75" customHeight="1">
      <c r="B236" s="413" t="s">
        <v>343</v>
      </c>
      <c r="C236" s="419">
        <v>217.42754000000002</v>
      </c>
      <c r="D236" s="419">
        <f t="shared" si="7"/>
        <v>815.78813</v>
      </c>
    </row>
    <row r="237" spans="2:4" ht="15.75" customHeight="1">
      <c r="B237" s="413" t="s">
        <v>187</v>
      </c>
      <c r="C237" s="419">
        <v>215.59939000000003</v>
      </c>
      <c r="D237" s="419">
        <f t="shared" si="7"/>
        <v>808.92891</v>
      </c>
    </row>
    <row r="238" spans="2:4" ht="15.75" customHeight="1">
      <c r="B238" s="413" t="s">
        <v>390</v>
      </c>
      <c r="C238" s="419">
        <v>202.05068</v>
      </c>
      <c r="D238" s="419">
        <f t="shared" si="7"/>
        <v>758.09415</v>
      </c>
    </row>
    <row r="239" spans="2:4" ht="15.75" customHeight="1">
      <c r="B239" s="413" t="s">
        <v>369</v>
      </c>
      <c r="C239" s="419">
        <v>197.98123</v>
      </c>
      <c r="D239" s="419">
        <f t="shared" si="7"/>
        <v>742.82557</v>
      </c>
    </row>
    <row r="240" spans="2:4" ht="15.75" customHeight="1">
      <c r="B240" s="413" t="s">
        <v>371</v>
      </c>
      <c r="C240" s="419">
        <v>180.00094</v>
      </c>
      <c r="D240" s="419">
        <f t="shared" si="7"/>
        <v>675.36353</v>
      </c>
    </row>
    <row r="241" spans="2:4" ht="15.75" customHeight="1">
      <c r="B241" s="413" t="s">
        <v>333</v>
      </c>
      <c r="C241" s="419">
        <v>178.13219</v>
      </c>
      <c r="D241" s="419">
        <f t="shared" si="7"/>
        <v>668.35198</v>
      </c>
    </row>
    <row r="242" spans="2:4" ht="15.75" customHeight="1">
      <c r="B242" s="413" t="s">
        <v>370</v>
      </c>
      <c r="C242" s="419">
        <v>177.18707999999998</v>
      </c>
      <c r="D242" s="419">
        <f t="shared" si="7"/>
        <v>664.80592</v>
      </c>
    </row>
    <row r="243" spans="2:4" ht="15.75" customHeight="1">
      <c r="B243" s="413" t="s">
        <v>391</v>
      </c>
      <c r="C243" s="419">
        <v>170.78467</v>
      </c>
      <c r="D243" s="419">
        <f t="shared" si="7"/>
        <v>640.78408</v>
      </c>
    </row>
    <row r="244" spans="2:4" ht="15.75" customHeight="1">
      <c r="B244" s="413" t="s">
        <v>418</v>
      </c>
      <c r="C244" s="419">
        <v>167.11087</v>
      </c>
      <c r="D244" s="419">
        <f t="shared" si="7"/>
        <v>626.99998</v>
      </c>
    </row>
    <row r="245" spans="2:4" ht="15.75" customHeight="1">
      <c r="B245" s="413" t="s">
        <v>373</v>
      </c>
      <c r="C245" s="419">
        <v>161.90473</v>
      </c>
      <c r="D245" s="419">
        <f t="shared" si="7"/>
        <v>607.46655</v>
      </c>
    </row>
    <row r="246" spans="2:4" ht="15.75" customHeight="1">
      <c r="B246" s="413" t="s">
        <v>372</v>
      </c>
      <c r="C246" s="419">
        <v>161.85417999999999</v>
      </c>
      <c r="D246" s="419">
        <f t="shared" si="7"/>
        <v>607.27688</v>
      </c>
    </row>
    <row r="247" spans="2:4" ht="15.75" customHeight="1">
      <c r="B247" s="413" t="s">
        <v>262</v>
      </c>
      <c r="C247" s="419">
        <v>141.81989000000002</v>
      </c>
      <c r="D247" s="419">
        <f t="shared" si="7"/>
        <v>532.10823</v>
      </c>
    </row>
    <row r="248" spans="2:4" ht="15.75" customHeight="1">
      <c r="B248" s="413" t="s">
        <v>376</v>
      </c>
      <c r="C248" s="419">
        <v>139.60929000000002</v>
      </c>
      <c r="D248" s="419">
        <f t="shared" si="7"/>
        <v>523.81406</v>
      </c>
    </row>
    <row r="249" spans="2:4" ht="15.75" customHeight="1">
      <c r="B249" s="413" t="s">
        <v>392</v>
      </c>
      <c r="C249" s="419">
        <v>137.93344</v>
      </c>
      <c r="D249" s="419">
        <f t="shared" si="7"/>
        <v>517.52627</v>
      </c>
    </row>
    <row r="250" spans="2:4" ht="15.75" customHeight="1">
      <c r="B250" s="413" t="s">
        <v>334</v>
      </c>
      <c r="C250" s="419">
        <v>136.77776999999998</v>
      </c>
      <c r="D250" s="419">
        <f t="shared" si="7"/>
        <v>513.19019</v>
      </c>
    </row>
    <row r="251" spans="2:4" ht="15.75" customHeight="1">
      <c r="B251" s="413" t="s">
        <v>323</v>
      </c>
      <c r="C251" s="419">
        <v>127.71549</v>
      </c>
      <c r="D251" s="419">
        <f t="shared" si="7"/>
        <v>479.18852</v>
      </c>
    </row>
    <row r="252" spans="2:4" ht="15.75" customHeight="1">
      <c r="B252" s="413" t="s">
        <v>313</v>
      </c>
      <c r="C252" s="419">
        <v>126.47179</v>
      </c>
      <c r="D252" s="419">
        <f t="shared" si="7"/>
        <v>474.52216</v>
      </c>
    </row>
    <row r="253" spans="2:4" ht="15.75" customHeight="1">
      <c r="B253" s="413" t="s">
        <v>324</v>
      </c>
      <c r="C253" s="419">
        <v>119.92818</v>
      </c>
      <c r="D253" s="419">
        <f t="shared" si="7"/>
        <v>449.97053</v>
      </c>
    </row>
    <row r="254" spans="2:4" ht="15.75" customHeight="1">
      <c r="B254" s="413" t="s">
        <v>344</v>
      </c>
      <c r="C254" s="419">
        <v>118.87478</v>
      </c>
      <c r="D254" s="419">
        <f t="shared" si="7"/>
        <v>446.01817</v>
      </c>
    </row>
    <row r="255" spans="2:4" ht="15.75" customHeight="1">
      <c r="B255" s="413" t="s">
        <v>335</v>
      </c>
      <c r="C255" s="419">
        <v>115.90773</v>
      </c>
      <c r="D255" s="419">
        <f t="shared" si="7"/>
        <v>434.8858</v>
      </c>
    </row>
    <row r="256" spans="2:4" ht="15.75" customHeight="1">
      <c r="B256" s="385" t="s">
        <v>293</v>
      </c>
      <c r="C256" s="419">
        <v>115.07499</v>
      </c>
      <c r="D256" s="419">
        <f t="shared" si="7"/>
        <v>431.76136</v>
      </c>
    </row>
    <row r="257" spans="2:4" ht="15.75" customHeight="1">
      <c r="B257" s="413" t="s">
        <v>374</v>
      </c>
      <c r="C257" s="419">
        <v>108.0692</v>
      </c>
      <c r="D257" s="419">
        <f t="shared" si="7"/>
        <v>405.47564</v>
      </c>
    </row>
    <row r="258" spans="2:4" ht="15.75" customHeight="1">
      <c r="B258" s="413" t="s">
        <v>375</v>
      </c>
      <c r="C258" s="419">
        <v>106.37255</v>
      </c>
      <c r="D258" s="419">
        <f t="shared" si="7"/>
        <v>399.10981</v>
      </c>
    </row>
    <row r="259" spans="2:4" ht="15.75" customHeight="1">
      <c r="B259" s="413" t="s">
        <v>393</v>
      </c>
      <c r="C259" s="419">
        <v>101.02534</v>
      </c>
      <c r="D259" s="419">
        <f t="shared" si="7"/>
        <v>379.04708</v>
      </c>
    </row>
    <row r="260" spans="2:4" ht="15.75" customHeight="1">
      <c r="B260" s="385" t="s">
        <v>94</v>
      </c>
      <c r="C260" s="419">
        <v>2411.5901299999996</v>
      </c>
      <c r="D260" s="419">
        <f t="shared" si="7"/>
        <v>9048.28617</v>
      </c>
    </row>
    <row r="261" spans="2:4" ht="12" customHeight="1">
      <c r="B261" s="385"/>
      <c r="C261" s="292"/>
      <c r="D261" s="292"/>
    </row>
    <row r="262" spans="2:4" ht="15.75" customHeight="1">
      <c r="B262" s="387" t="s">
        <v>230</v>
      </c>
      <c r="C262" s="420">
        <v>0</v>
      </c>
      <c r="D262" s="420">
        <v>0</v>
      </c>
    </row>
    <row r="263" spans="2:4" ht="9.75" customHeight="1">
      <c r="B263" s="75"/>
      <c r="C263" s="421"/>
      <c r="D263" s="422"/>
    </row>
    <row r="264" spans="2:4" ht="16.5" customHeight="1">
      <c r="B264" s="497" t="s">
        <v>14</v>
      </c>
      <c r="C264" s="499">
        <f>+C192+C195+C262</f>
        <v>30432.927449999996</v>
      </c>
      <c r="D264" s="499">
        <f>+D192+D195+D262</f>
        <v>114184.34377</v>
      </c>
    </row>
    <row r="265" spans="2:4" ht="16.5" customHeight="1">
      <c r="B265" s="498"/>
      <c r="C265" s="500"/>
      <c r="D265" s="500"/>
    </row>
    <row r="266" spans="2:4" ht="7.5" customHeight="1">
      <c r="B266" s="97"/>
      <c r="C266" s="77"/>
      <c r="D266" s="77"/>
    </row>
    <row r="267" spans="2:4" s="71" customFormat="1" ht="18" customHeight="1">
      <c r="B267" s="403" t="s">
        <v>419</v>
      </c>
      <c r="C267" s="401"/>
      <c r="D267" s="172"/>
    </row>
    <row r="268" spans="2:4" s="71" customFormat="1" ht="4.5" customHeight="1">
      <c r="B268" s="379"/>
      <c r="C268" s="390"/>
      <c r="D268" s="172"/>
    </row>
    <row r="269" spans="2:4" s="68" customFormat="1" ht="15.75">
      <c r="B269" s="402" t="s">
        <v>158</v>
      </c>
      <c r="C269" s="348"/>
      <c r="D269" s="349"/>
    </row>
    <row r="270" spans="2:4" ht="15.75" customHeight="1">
      <c r="B270" s="381" t="s">
        <v>218</v>
      </c>
      <c r="C270" s="350"/>
      <c r="D270" s="350"/>
    </row>
  </sheetData>
  <sheetProtection/>
  <mergeCells count="14">
    <mergeCell ref="B264:B265"/>
    <mergeCell ref="C264:C265"/>
    <mergeCell ref="D264:D265"/>
    <mergeCell ref="B177:D177"/>
    <mergeCell ref="B188:B190"/>
    <mergeCell ref="C188:C190"/>
    <mergeCell ref="D188:D190"/>
    <mergeCell ref="B178:D178"/>
    <mergeCell ref="B11:B13"/>
    <mergeCell ref="C11:C13"/>
    <mergeCell ref="D11:D13"/>
    <mergeCell ref="D170:D171"/>
    <mergeCell ref="B170:B171"/>
    <mergeCell ref="C170:C1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80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83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22" customWidth="1"/>
    <col min="2" max="2" width="11.7109375" style="122" customWidth="1"/>
    <col min="3" max="3" width="2.7109375" style="122" hidden="1" customWidth="1"/>
    <col min="4" max="4" width="3.7109375" style="122" bestFit="1" customWidth="1"/>
    <col min="5" max="5" width="14.7109375" style="125" customWidth="1"/>
    <col min="6" max="6" width="14.7109375" style="122" customWidth="1"/>
    <col min="7" max="8" width="14.7109375" style="125" customWidth="1"/>
    <col min="9" max="9" width="14.7109375" style="129" customWidth="1"/>
    <col min="10" max="13" width="14.7109375" style="125" customWidth="1"/>
    <col min="14" max="14" width="10.8515625" style="122" customWidth="1"/>
    <col min="15" max="15" width="15.57421875" style="122" customWidth="1"/>
    <col min="16" max="16" width="11.7109375" style="122" bestFit="1" customWidth="1"/>
    <col min="17" max="17" width="10.7109375" style="122" customWidth="1"/>
    <col min="18" max="23" width="10.8515625" style="122" customWidth="1"/>
    <col min="24" max="24" width="19.28125" style="122" customWidth="1"/>
    <col min="25" max="16384" width="10.8515625" style="122" customWidth="1"/>
  </cols>
  <sheetData>
    <row r="1" ht="15"/>
    <row r="2" ht="15"/>
    <row r="3" ht="15"/>
    <row r="4" ht="15"/>
    <row r="5" spans="2:9" ht="18" customHeight="1">
      <c r="B5" s="523" t="s">
        <v>98</v>
      </c>
      <c r="C5" s="523"/>
      <c r="D5" s="523"/>
      <c r="I5" s="126"/>
    </row>
    <row r="6" spans="2:13" ht="19.5">
      <c r="B6" s="127" t="s">
        <v>240</v>
      </c>
      <c r="C6" s="128"/>
      <c r="D6" s="128"/>
      <c r="M6" s="373" t="s">
        <v>132</v>
      </c>
    </row>
    <row r="7" spans="2:4" ht="18">
      <c r="B7" s="128" t="s">
        <v>78</v>
      </c>
      <c r="C7" s="126"/>
      <c r="D7" s="126"/>
    </row>
    <row r="8" spans="2:4" ht="16.5">
      <c r="B8" s="130" t="s">
        <v>159</v>
      </c>
      <c r="C8" s="126"/>
      <c r="D8" s="126"/>
    </row>
    <row r="9" spans="2:12" ht="16.5">
      <c r="B9" s="126" t="s">
        <v>420</v>
      </c>
      <c r="C9" s="126"/>
      <c r="D9" s="126"/>
      <c r="F9" s="130"/>
      <c r="L9" s="131"/>
    </row>
    <row r="10" spans="2:13" s="132" customFormat="1" ht="15">
      <c r="B10" s="133" t="s">
        <v>75</v>
      </c>
      <c r="C10" s="133"/>
      <c r="D10" s="133"/>
      <c r="E10" s="134"/>
      <c r="G10" s="134"/>
      <c r="H10" s="134"/>
      <c r="I10" s="135"/>
      <c r="J10" s="134"/>
      <c r="K10" s="134"/>
      <c r="L10" s="134"/>
      <c r="M10" s="134"/>
    </row>
    <row r="11" ht="9.75" customHeight="1"/>
    <row r="12" spans="2:13" s="136" customFormat="1" ht="19.5" customHeight="1">
      <c r="B12" s="506" t="s">
        <v>93</v>
      </c>
      <c r="C12" s="507"/>
      <c r="D12" s="152"/>
      <c r="E12" s="512" t="s">
        <v>91</v>
      </c>
      <c r="F12" s="513"/>
      <c r="G12" s="514"/>
      <c r="H12" s="512" t="s">
        <v>92</v>
      </c>
      <c r="I12" s="513"/>
      <c r="J12" s="514"/>
      <c r="K12" s="512" t="s">
        <v>31</v>
      </c>
      <c r="L12" s="513"/>
      <c r="M12" s="514"/>
    </row>
    <row r="13" spans="2:13" ht="19.5" customHeight="1">
      <c r="B13" s="508"/>
      <c r="C13" s="509"/>
      <c r="D13" s="153"/>
      <c r="E13" s="139" t="s">
        <v>76</v>
      </c>
      <c r="F13" s="137" t="s">
        <v>77</v>
      </c>
      <c r="G13" s="138" t="s">
        <v>31</v>
      </c>
      <c r="H13" s="139" t="s">
        <v>76</v>
      </c>
      <c r="I13" s="137" t="s">
        <v>77</v>
      </c>
      <c r="J13" s="138" t="s">
        <v>31</v>
      </c>
      <c r="K13" s="139" t="s">
        <v>76</v>
      </c>
      <c r="L13" s="137" t="s">
        <v>77</v>
      </c>
      <c r="M13" s="138" t="s">
        <v>31</v>
      </c>
    </row>
    <row r="14" spans="2:13" ht="9.75" customHeight="1">
      <c r="B14" s="140"/>
      <c r="C14" s="141"/>
      <c r="D14" s="142"/>
      <c r="E14" s="299"/>
      <c r="F14" s="300"/>
      <c r="G14" s="391"/>
      <c r="H14" s="300"/>
      <c r="I14" s="300"/>
      <c r="J14" s="301"/>
      <c r="K14" s="299"/>
      <c r="L14" s="300"/>
      <c r="M14" s="301"/>
    </row>
    <row r="15" spans="2:13" ht="15" customHeight="1">
      <c r="B15" s="399">
        <v>2024</v>
      </c>
      <c r="C15" s="400"/>
      <c r="D15" s="414" t="s">
        <v>394</v>
      </c>
      <c r="E15" s="298">
        <v>1127.48767</v>
      </c>
      <c r="F15" s="296">
        <v>237.16056</v>
      </c>
      <c r="G15" s="296">
        <f aca="true" t="shared" si="0" ref="G15:G34">+F15+E15</f>
        <v>1364.64823</v>
      </c>
      <c r="H15" s="298">
        <v>110853.95885</v>
      </c>
      <c r="I15" s="296">
        <f>21047.25687+27875.10588</f>
        <v>48922.36275</v>
      </c>
      <c r="J15" s="297">
        <f aca="true" t="shared" si="1" ref="J15:J30">+H15+I15</f>
        <v>159776.3216</v>
      </c>
      <c r="K15" s="298">
        <f aca="true" t="shared" si="2" ref="K15:K30">+E15+H15</f>
        <v>111981.44652</v>
      </c>
      <c r="L15" s="296">
        <f aca="true" t="shared" si="3" ref="L15:L30">+F15+I15</f>
        <v>49159.52331</v>
      </c>
      <c r="M15" s="297">
        <f aca="true" t="shared" si="4" ref="M15:M30">+K15+L15</f>
        <v>161140.96983</v>
      </c>
    </row>
    <row r="16" spans="2:13" ht="15" customHeight="1">
      <c r="B16" s="399">
        <f aca="true" t="shared" si="5" ref="B16:B34">+B15+1</f>
        <v>2025</v>
      </c>
      <c r="C16" s="400"/>
      <c r="D16" s="154"/>
      <c r="E16" s="298">
        <v>2254.97534</v>
      </c>
      <c r="F16" s="296">
        <v>405.1697</v>
      </c>
      <c r="G16" s="296">
        <f t="shared" si="0"/>
        <v>2660.14504</v>
      </c>
      <c r="H16" s="298">
        <v>124796.60048</v>
      </c>
      <c r="I16" s="296">
        <f>24704.52829+28904.58422</f>
        <v>53609.11251</v>
      </c>
      <c r="J16" s="297">
        <f t="shared" si="1"/>
        <v>178405.71299</v>
      </c>
      <c r="K16" s="298">
        <f t="shared" si="2"/>
        <v>127051.57582</v>
      </c>
      <c r="L16" s="296">
        <f t="shared" si="3"/>
        <v>54014.28221</v>
      </c>
      <c r="M16" s="297">
        <f t="shared" si="4"/>
        <v>181065.85803</v>
      </c>
    </row>
    <row r="17" spans="2:13" ht="15" customHeight="1">
      <c r="B17" s="399">
        <f t="shared" si="5"/>
        <v>2026</v>
      </c>
      <c r="C17" s="400"/>
      <c r="D17" s="154"/>
      <c r="E17" s="298">
        <v>2254.97534</v>
      </c>
      <c r="F17" s="296">
        <v>310.19873</v>
      </c>
      <c r="G17" s="296">
        <f t="shared" si="0"/>
        <v>2565.17407</v>
      </c>
      <c r="H17" s="298">
        <f>180711.23238+10660.98082</f>
        <v>191372.2132</v>
      </c>
      <c r="I17" s="296">
        <f>21208.13787+28664.05497</f>
        <v>49872.19284</v>
      </c>
      <c r="J17" s="297">
        <f t="shared" si="1"/>
        <v>241244.40604</v>
      </c>
      <c r="K17" s="298">
        <f t="shared" si="2"/>
        <v>193627.18854</v>
      </c>
      <c r="L17" s="296">
        <f t="shared" si="3"/>
        <v>50182.39157</v>
      </c>
      <c r="M17" s="297">
        <f t="shared" si="4"/>
        <v>243809.58011</v>
      </c>
    </row>
    <row r="18" spans="2:13" ht="15" customHeight="1">
      <c r="B18" s="399">
        <f t="shared" si="5"/>
        <v>2027</v>
      </c>
      <c r="C18" s="400"/>
      <c r="D18" s="154"/>
      <c r="E18" s="298">
        <v>2254.97534</v>
      </c>
      <c r="F18" s="296">
        <v>214.81327</v>
      </c>
      <c r="G18" s="296">
        <f t="shared" si="0"/>
        <v>2469.78861</v>
      </c>
      <c r="H18" s="298">
        <f>66549.68065+13326.22602</f>
        <v>79875.90667</v>
      </c>
      <c r="I18" s="296">
        <f>11368.20893+27644.43438</f>
        <v>39012.64331</v>
      </c>
      <c r="J18" s="297">
        <f t="shared" si="1"/>
        <v>118888.54998</v>
      </c>
      <c r="K18" s="298">
        <f t="shared" si="2"/>
        <v>82130.88201</v>
      </c>
      <c r="L18" s="296">
        <f t="shared" si="3"/>
        <v>39227.45658</v>
      </c>
      <c r="M18" s="297">
        <f t="shared" si="4"/>
        <v>121358.33859</v>
      </c>
    </row>
    <row r="19" spans="2:13" ht="15" customHeight="1">
      <c r="B19" s="399">
        <f t="shared" si="5"/>
        <v>2028</v>
      </c>
      <c r="C19" s="400"/>
      <c r="D19" s="154"/>
      <c r="E19" s="298">
        <v>2254.97534</v>
      </c>
      <c r="F19" s="296">
        <v>119.50029</v>
      </c>
      <c r="G19" s="296">
        <f t="shared" si="0"/>
        <v>2374.47563</v>
      </c>
      <c r="H19" s="298">
        <f>53316.48128+13326.22602</f>
        <v>66642.7073</v>
      </c>
      <c r="I19" s="296">
        <f>9143.93582+26518.35003</f>
        <v>35662.28585</v>
      </c>
      <c r="J19" s="297">
        <f t="shared" si="1"/>
        <v>102304.99315</v>
      </c>
      <c r="K19" s="298">
        <f t="shared" si="2"/>
        <v>68897.68264</v>
      </c>
      <c r="L19" s="296">
        <f t="shared" si="3"/>
        <v>35781.786140000004</v>
      </c>
      <c r="M19" s="297">
        <f t="shared" si="4"/>
        <v>104679.46878</v>
      </c>
    </row>
    <row r="20" spans="2:13" ht="15" customHeight="1">
      <c r="B20" s="399">
        <f t="shared" si="5"/>
        <v>2029</v>
      </c>
      <c r="C20" s="400"/>
      <c r="D20" s="154"/>
      <c r="E20" s="298">
        <v>1127.48749</v>
      </c>
      <c r="F20" s="296">
        <v>23.96714</v>
      </c>
      <c r="G20" s="296">
        <f t="shared" si="0"/>
        <v>1151.45463</v>
      </c>
      <c r="H20" s="298">
        <f>45462.10468+17324.09382</f>
        <v>62786.1985</v>
      </c>
      <c r="I20" s="296">
        <f>6858.43862+25155.51523</f>
        <v>32013.95385</v>
      </c>
      <c r="J20" s="297">
        <f t="shared" si="1"/>
        <v>94800.15235</v>
      </c>
      <c r="K20" s="298">
        <f t="shared" si="2"/>
        <v>63913.68599</v>
      </c>
      <c r="L20" s="296">
        <f t="shared" si="3"/>
        <v>32037.920990000002</v>
      </c>
      <c r="M20" s="297">
        <f t="shared" si="4"/>
        <v>95951.60698</v>
      </c>
    </row>
    <row r="21" spans="2:13" ht="15" customHeight="1">
      <c r="B21" s="399">
        <f t="shared" si="5"/>
        <v>2030</v>
      </c>
      <c r="C21" s="400"/>
      <c r="D21" s="154"/>
      <c r="E21" s="298">
        <v>0</v>
      </c>
      <c r="F21" s="296">
        <v>0</v>
      </c>
      <c r="G21" s="296">
        <f t="shared" si="0"/>
        <v>0</v>
      </c>
      <c r="H21" s="298">
        <f>57763.76635+17324.09382</f>
        <v>75087.86017</v>
      </c>
      <c r="I21" s="296">
        <f>5209.18017+23596.34678</f>
        <v>28805.52695</v>
      </c>
      <c r="J21" s="297">
        <f t="shared" si="1"/>
        <v>103893.38712</v>
      </c>
      <c r="K21" s="298">
        <f t="shared" si="2"/>
        <v>75087.86017</v>
      </c>
      <c r="L21" s="296">
        <f t="shared" si="3"/>
        <v>28805.52695</v>
      </c>
      <c r="M21" s="297">
        <f t="shared" si="4"/>
        <v>103893.38712</v>
      </c>
    </row>
    <row r="22" spans="2:13" ht="15" customHeight="1">
      <c r="B22" s="399">
        <f t="shared" si="5"/>
        <v>2031</v>
      </c>
      <c r="C22" s="400"/>
      <c r="D22" s="154"/>
      <c r="E22" s="298">
        <v>0</v>
      </c>
      <c r="F22" s="296">
        <v>0</v>
      </c>
      <c r="G22" s="296">
        <f t="shared" si="0"/>
        <v>0</v>
      </c>
      <c r="H22" s="298">
        <f>37732.71467+17324.09382</f>
        <v>55056.808489999996</v>
      </c>
      <c r="I22" s="296">
        <f>3750.68813+22037.17834</f>
        <v>25787.866469999997</v>
      </c>
      <c r="J22" s="297">
        <f t="shared" si="1"/>
        <v>80844.67495999999</v>
      </c>
      <c r="K22" s="298">
        <f t="shared" si="2"/>
        <v>55056.808489999996</v>
      </c>
      <c r="L22" s="296">
        <f t="shared" si="3"/>
        <v>25787.866469999997</v>
      </c>
      <c r="M22" s="297">
        <f t="shared" si="4"/>
        <v>80844.67495999999</v>
      </c>
    </row>
    <row r="23" spans="2:13" ht="15" customHeight="1">
      <c r="B23" s="399">
        <f t="shared" si="5"/>
        <v>2032</v>
      </c>
      <c r="C23" s="400"/>
      <c r="D23" s="154"/>
      <c r="E23" s="298">
        <v>0</v>
      </c>
      <c r="F23" s="296">
        <v>0</v>
      </c>
      <c r="G23" s="296">
        <f t="shared" si="0"/>
        <v>0</v>
      </c>
      <c r="H23" s="298">
        <f>34845.71639+17324.09382</f>
        <v>52169.810209999996</v>
      </c>
      <c r="I23" s="296">
        <f>4192.46057+20535.18489</f>
        <v>24727.64546</v>
      </c>
      <c r="J23" s="297">
        <f t="shared" si="1"/>
        <v>76897.45567</v>
      </c>
      <c r="K23" s="298">
        <f t="shared" si="2"/>
        <v>52169.810209999996</v>
      </c>
      <c r="L23" s="296">
        <f t="shared" si="3"/>
        <v>24727.64546</v>
      </c>
      <c r="M23" s="297">
        <f t="shared" si="4"/>
        <v>76897.45567</v>
      </c>
    </row>
    <row r="24" spans="2:13" ht="15" customHeight="1">
      <c r="B24" s="399">
        <f t="shared" si="5"/>
        <v>2033</v>
      </c>
      <c r="C24" s="400"/>
      <c r="D24" s="154"/>
      <c r="E24" s="298">
        <v>0</v>
      </c>
      <c r="F24" s="296">
        <v>0</v>
      </c>
      <c r="G24" s="296">
        <f t="shared" si="0"/>
        <v>0</v>
      </c>
      <c r="H24" s="298">
        <f>13466.12108+17324.09382</f>
        <v>30790.2149</v>
      </c>
      <c r="I24" s="296">
        <f>1087.73198+18918.84146</f>
        <v>20006.57344</v>
      </c>
      <c r="J24" s="297">
        <f t="shared" si="1"/>
        <v>50796.78834</v>
      </c>
      <c r="K24" s="298">
        <f t="shared" si="2"/>
        <v>30790.2149</v>
      </c>
      <c r="L24" s="296">
        <f t="shared" si="3"/>
        <v>20006.57344</v>
      </c>
      <c r="M24" s="297">
        <f t="shared" si="4"/>
        <v>50796.78834</v>
      </c>
    </row>
    <row r="25" spans="2:13" ht="15" customHeight="1">
      <c r="B25" s="399">
        <f t="shared" si="5"/>
        <v>2034</v>
      </c>
      <c r="C25" s="400"/>
      <c r="D25" s="154"/>
      <c r="E25" s="298">
        <v>0</v>
      </c>
      <c r="F25" s="296">
        <v>0</v>
      </c>
      <c r="G25" s="296">
        <f t="shared" si="0"/>
        <v>0</v>
      </c>
      <c r="H25" s="298">
        <f>10404.04558+17324.09382</f>
        <v>27728.1394</v>
      </c>
      <c r="I25" s="296">
        <f>701.26274+17359.67301</f>
        <v>18060.935749999997</v>
      </c>
      <c r="J25" s="297">
        <f t="shared" si="1"/>
        <v>45789.07515</v>
      </c>
      <c r="K25" s="298">
        <f t="shared" si="2"/>
        <v>27728.1394</v>
      </c>
      <c r="L25" s="296">
        <f t="shared" si="3"/>
        <v>18060.935749999997</v>
      </c>
      <c r="M25" s="297">
        <f t="shared" si="4"/>
        <v>45789.07515</v>
      </c>
    </row>
    <row r="26" spans="2:13" ht="15" customHeight="1">
      <c r="B26" s="399">
        <f t="shared" si="5"/>
        <v>2035</v>
      </c>
      <c r="C26" s="400"/>
      <c r="D26" s="154"/>
      <c r="E26" s="298">
        <v>0</v>
      </c>
      <c r="F26" s="296">
        <v>0</v>
      </c>
      <c r="G26" s="296">
        <f t="shared" si="0"/>
        <v>0</v>
      </c>
      <c r="H26" s="298">
        <f>10382.33907+17324.09382</f>
        <v>27706.432889999996</v>
      </c>
      <c r="I26" s="296">
        <f>324.96506+15800.50457</f>
        <v>16125.46963</v>
      </c>
      <c r="J26" s="297">
        <f t="shared" si="1"/>
        <v>43831.902519999996</v>
      </c>
      <c r="K26" s="298">
        <f t="shared" si="2"/>
        <v>27706.432889999996</v>
      </c>
      <c r="L26" s="296">
        <f t="shared" si="3"/>
        <v>16125.46963</v>
      </c>
      <c r="M26" s="297">
        <f t="shared" si="4"/>
        <v>43831.902519999996</v>
      </c>
    </row>
    <row r="27" spans="2:13" ht="15" customHeight="1">
      <c r="B27" s="399">
        <f t="shared" si="5"/>
        <v>2036</v>
      </c>
      <c r="C27" s="400"/>
      <c r="D27" s="154"/>
      <c r="E27" s="298">
        <v>0</v>
      </c>
      <c r="F27" s="296">
        <v>0</v>
      </c>
      <c r="G27" s="296">
        <f t="shared" si="0"/>
        <v>0</v>
      </c>
      <c r="H27" s="298">
        <f>1470.55139+17324.09382</f>
        <v>18794.64521</v>
      </c>
      <c r="I27" s="296">
        <f>35.95942+14281.42434</f>
        <v>14317.383759999999</v>
      </c>
      <c r="J27" s="297">
        <f t="shared" si="1"/>
        <v>33112.02897</v>
      </c>
      <c r="K27" s="298">
        <f t="shared" si="2"/>
        <v>18794.64521</v>
      </c>
      <c r="L27" s="296">
        <f t="shared" si="3"/>
        <v>14317.383759999999</v>
      </c>
      <c r="M27" s="297">
        <f t="shared" si="4"/>
        <v>33112.02897</v>
      </c>
    </row>
    <row r="28" spans="2:13" ht="15" customHeight="1">
      <c r="B28" s="399">
        <f t="shared" si="5"/>
        <v>2037</v>
      </c>
      <c r="C28" s="400"/>
      <c r="D28" s="154"/>
      <c r="E28" s="298">
        <v>0</v>
      </c>
      <c r="F28" s="296">
        <v>0</v>
      </c>
      <c r="G28" s="296">
        <f t="shared" si="0"/>
        <v>0</v>
      </c>
      <c r="H28" s="298">
        <f>581.23014+17324.09382</f>
        <v>17905.323959999998</v>
      </c>
      <c r="I28" s="296">
        <f>22.34272+12682.16768</f>
        <v>12704.510400000001</v>
      </c>
      <c r="J28" s="297">
        <f t="shared" si="1"/>
        <v>30609.83436</v>
      </c>
      <c r="K28" s="298">
        <f t="shared" si="2"/>
        <v>17905.323959999998</v>
      </c>
      <c r="L28" s="296">
        <f t="shared" si="3"/>
        <v>12704.510400000001</v>
      </c>
      <c r="M28" s="297">
        <f t="shared" si="4"/>
        <v>30609.83436</v>
      </c>
    </row>
    <row r="29" spans="2:13" ht="15" customHeight="1">
      <c r="B29" s="399">
        <f t="shared" si="5"/>
        <v>2038</v>
      </c>
      <c r="C29" s="400"/>
      <c r="D29" s="154"/>
      <c r="E29" s="298">
        <v>0</v>
      </c>
      <c r="F29" s="296">
        <v>0</v>
      </c>
      <c r="G29" s="296">
        <f t="shared" si="0"/>
        <v>0</v>
      </c>
      <c r="H29" s="298">
        <f>539.55814+17324.09382</f>
        <v>17863.65196</v>
      </c>
      <c r="I29" s="296">
        <f>16.38466+11122.99924</f>
        <v>11139.383899999999</v>
      </c>
      <c r="J29" s="297">
        <f t="shared" si="1"/>
        <v>29003.035859999996</v>
      </c>
      <c r="K29" s="298">
        <f t="shared" si="2"/>
        <v>17863.65196</v>
      </c>
      <c r="L29" s="296">
        <f t="shared" si="3"/>
        <v>11139.383899999999</v>
      </c>
      <c r="M29" s="297">
        <f t="shared" si="4"/>
        <v>29003.035859999996</v>
      </c>
    </row>
    <row r="30" spans="2:13" ht="15" customHeight="1">
      <c r="B30" s="399">
        <f t="shared" si="5"/>
        <v>2039</v>
      </c>
      <c r="C30" s="400"/>
      <c r="D30" s="154"/>
      <c r="E30" s="298">
        <v>0</v>
      </c>
      <c r="F30" s="296">
        <v>0</v>
      </c>
      <c r="G30" s="296">
        <f t="shared" si="0"/>
        <v>0</v>
      </c>
      <c r="H30" s="298">
        <f>446.44672+21321.96162</f>
        <v>21768.408339999998</v>
      </c>
      <c r="I30" s="296">
        <f>10.4266+9473.63233</f>
        <v>9484.058930000001</v>
      </c>
      <c r="J30" s="297">
        <f t="shared" si="1"/>
        <v>31252.46727</v>
      </c>
      <c r="K30" s="298">
        <f t="shared" si="2"/>
        <v>21768.408339999998</v>
      </c>
      <c r="L30" s="296">
        <f t="shared" si="3"/>
        <v>9484.058930000001</v>
      </c>
      <c r="M30" s="297">
        <f t="shared" si="4"/>
        <v>31252.46727</v>
      </c>
    </row>
    <row r="31" spans="2:13" ht="15" customHeight="1">
      <c r="B31" s="399">
        <f t="shared" si="5"/>
        <v>2040</v>
      </c>
      <c r="C31" s="400"/>
      <c r="D31" s="154"/>
      <c r="E31" s="298">
        <v>0</v>
      </c>
      <c r="F31" s="296">
        <v>0</v>
      </c>
      <c r="G31" s="296">
        <f>+F31+E31</f>
        <v>0</v>
      </c>
      <c r="H31" s="298">
        <f>416.4835+21321.96162</f>
        <v>21738.445119999997</v>
      </c>
      <c r="I31" s="296">
        <f>4.46854+7576.67144</f>
        <v>7581.13998</v>
      </c>
      <c r="J31" s="297">
        <f>+H31+I31</f>
        <v>29319.585099999997</v>
      </c>
      <c r="K31" s="298">
        <f aca="true" t="shared" si="6" ref="K31:L34">+E31+H31</f>
        <v>21738.445119999997</v>
      </c>
      <c r="L31" s="296">
        <f t="shared" si="6"/>
        <v>7581.13998</v>
      </c>
      <c r="M31" s="297">
        <f>+K31+L31</f>
        <v>29319.585099999997</v>
      </c>
    </row>
    <row r="32" spans="2:13" ht="15" customHeight="1">
      <c r="B32" s="399">
        <f t="shared" si="5"/>
        <v>2041</v>
      </c>
      <c r="C32" s="400"/>
      <c r="D32" s="154"/>
      <c r="E32" s="298">
        <v>0</v>
      </c>
      <c r="F32" s="296">
        <v>0</v>
      </c>
      <c r="G32" s="296">
        <f>+F32+E32</f>
        <v>0</v>
      </c>
      <c r="H32" s="298">
        <f>112.58784+21321.96162</f>
        <v>21434.54946</v>
      </c>
      <c r="I32" s="296">
        <v>5635.67924</v>
      </c>
      <c r="J32" s="297">
        <f>+H32+I32</f>
        <v>27070.2287</v>
      </c>
      <c r="K32" s="298">
        <f t="shared" si="6"/>
        <v>21434.54946</v>
      </c>
      <c r="L32" s="296">
        <f t="shared" si="6"/>
        <v>5635.67924</v>
      </c>
      <c r="M32" s="297">
        <f>+K32+L32</f>
        <v>27070.2287</v>
      </c>
    </row>
    <row r="33" spans="2:13" ht="15" customHeight="1">
      <c r="B33" s="399">
        <f t="shared" si="5"/>
        <v>2042</v>
      </c>
      <c r="C33" s="400"/>
      <c r="D33" s="154"/>
      <c r="E33" s="298">
        <v>0</v>
      </c>
      <c r="F33" s="296">
        <v>0</v>
      </c>
      <c r="G33" s="296">
        <f>+F33+E33</f>
        <v>0</v>
      </c>
      <c r="H33" s="298">
        <f>56.29392+21321.96162</f>
        <v>21378.25554</v>
      </c>
      <c r="I33" s="296">
        <v>3716.70269</v>
      </c>
      <c r="J33" s="297">
        <f>+H33+I33</f>
        <v>25094.958229999997</v>
      </c>
      <c r="K33" s="298">
        <f t="shared" si="6"/>
        <v>21378.25554</v>
      </c>
      <c r="L33" s="296">
        <f t="shared" si="6"/>
        <v>3716.70269</v>
      </c>
      <c r="M33" s="297">
        <f>+K33+L33</f>
        <v>25094.958229999997</v>
      </c>
    </row>
    <row r="34" spans="2:13" ht="15" customHeight="1">
      <c r="B34" s="399">
        <f t="shared" si="5"/>
        <v>2043</v>
      </c>
      <c r="C34" s="400"/>
      <c r="D34" s="154"/>
      <c r="E34" s="298">
        <v>0</v>
      </c>
      <c r="F34" s="296">
        <v>0</v>
      </c>
      <c r="G34" s="296">
        <f t="shared" si="0"/>
        <v>0</v>
      </c>
      <c r="H34" s="298">
        <f>9.3821+25319.82942</f>
        <v>25329.211519999997</v>
      </c>
      <c r="I34" s="296">
        <v>1707.52767</v>
      </c>
      <c r="J34" s="297">
        <f>+H34+I34</f>
        <v>27036.739189999997</v>
      </c>
      <c r="K34" s="298">
        <f t="shared" si="6"/>
        <v>25329.211519999997</v>
      </c>
      <c r="L34" s="296">
        <f t="shared" si="6"/>
        <v>1707.52767</v>
      </c>
      <c r="M34" s="297">
        <f>+K34+L34</f>
        <v>27036.739189999997</v>
      </c>
    </row>
    <row r="35" spans="2:13" ht="9.75" customHeight="1">
      <c r="B35" s="143"/>
      <c r="C35" s="144"/>
      <c r="D35" s="155"/>
      <c r="E35" s="302"/>
      <c r="F35" s="303"/>
      <c r="G35" s="304"/>
      <c r="H35" s="302"/>
      <c r="I35" s="303"/>
      <c r="J35" s="304"/>
      <c r="K35" s="302"/>
      <c r="L35" s="303"/>
      <c r="M35" s="304"/>
    </row>
    <row r="36" spans="2:13" ht="15" customHeight="1">
      <c r="B36" s="515" t="s">
        <v>14</v>
      </c>
      <c r="C36" s="516"/>
      <c r="D36" s="207"/>
      <c r="E36" s="519">
        <f aca="true" t="shared" si="7" ref="E36:M36">SUM(E15:E34)</f>
        <v>11274.87652</v>
      </c>
      <c r="F36" s="521">
        <f t="shared" si="7"/>
        <v>1310.8096899999998</v>
      </c>
      <c r="G36" s="510">
        <f t="shared" si="7"/>
        <v>12585.68621</v>
      </c>
      <c r="H36" s="519">
        <f t="shared" si="7"/>
        <v>1071079.34217</v>
      </c>
      <c r="I36" s="521">
        <f t="shared" si="7"/>
        <v>458892.95538000006</v>
      </c>
      <c r="J36" s="510">
        <f t="shared" si="7"/>
        <v>1529972.29755</v>
      </c>
      <c r="K36" s="519">
        <f t="shared" si="7"/>
        <v>1082354.2186899998</v>
      </c>
      <c r="L36" s="521">
        <f t="shared" si="7"/>
        <v>460203.7650700001</v>
      </c>
      <c r="M36" s="510">
        <f t="shared" si="7"/>
        <v>1542557.98376</v>
      </c>
    </row>
    <row r="37" spans="2:13" ht="15" customHeight="1">
      <c r="B37" s="517"/>
      <c r="C37" s="518"/>
      <c r="D37" s="208"/>
      <c r="E37" s="520"/>
      <c r="F37" s="522"/>
      <c r="G37" s="511"/>
      <c r="H37" s="520"/>
      <c r="I37" s="522"/>
      <c r="J37" s="511"/>
      <c r="K37" s="520"/>
      <c r="L37" s="522"/>
      <c r="M37" s="511"/>
    </row>
    <row r="38" ht="6.75" customHeight="1"/>
    <row r="39" spans="2:13" s="132" customFormat="1" ht="15" customHeight="1">
      <c r="B39" s="145" t="s">
        <v>112</v>
      </c>
      <c r="C39" s="146"/>
      <c r="D39" s="146"/>
      <c r="E39" s="352"/>
      <c r="F39" s="352"/>
      <c r="G39" s="352"/>
      <c r="H39" s="352"/>
      <c r="I39" s="352"/>
      <c r="J39" s="352"/>
      <c r="K39" s="134"/>
      <c r="L39" s="134"/>
      <c r="M39" s="134"/>
    </row>
    <row r="40" spans="2:13" s="132" customFormat="1" ht="15" customHeight="1">
      <c r="B40" s="145" t="s">
        <v>421</v>
      </c>
      <c r="C40" s="146"/>
      <c r="D40" s="146"/>
      <c r="E40" s="134"/>
      <c r="G40" s="134"/>
      <c r="H40" s="147"/>
      <c r="I40" s="148"/>
      <c r="J40" s="147"/>
      <c r="K40" s="168"/>
      <c r="L40" s="167"/>
      <c r="M40" s="134"/>
    </row>
    <row r="41" spans="2:13" s="132" customFormat="1" ht="15">
      <c r="B41" s="69" t="s">
        <v>422</v>
      </c>
      <c r="C41" s="146"/>
      <c r="D41" s="146"/>
      <c r="E41" s="134"/>
      <c r="G41" s="134"/>
      <c r="H41" s="156"/>
      <c r="I41" s="148"/>
      <c r="J41" s="147"/>
      <c r="K41" s="134"/>
      <c r="L41" s="134"/>
      <c r="M41" s="134"/>
    </row>
    <row r="42" spans="2:13" ht="15.75" customHeight="1">
      <c r="B42" s="351"/>
      <c r="C42" s="351"/>
      <c r="D42" s="351"/>
      <c r="E42" s="352"/>
      <c r="F42" s="352"/>
      <c r="G42" s="352"/>
      <c r="H42" s="352"/>
      <c r="I42" s="352"/>
      <c r="J42" s="352"/>
      <c r="K42" s="352"/>
      <c r="L42" s="352"/>
      <c r="M42" s="352"/>
    </row>
    <row r="43" spans="2:13" ht="15.75" customHeight="1">
      <c r="B43" s="351"/>
      <c r="C43" s="351"/>
      <c r="D43" s="351"/>
      <c r="E43" s="353"/>
      <c r="F43" s="354"/>
      <c r="G43" s="355"/>
      <c r="H43" s="353"/>
      <c r="I43" s="355"/>
      <c r="J43" s="355"/>
      <c r="K43" s="355"/>
      <c r="L43" s="355"/>
      <c r="M43" s="355"/>
    </row>
    <row r="44" spans="2:13" ht="15.75" customHeight="1">
      <c r="B44" s="351"/>
      <c r="C44" s="351"/>
      <c r="D44" s="351"/>
      <c r="E44" s="356"/>
      <c r="F44" s="357"/>
      <c r="G44" s="358"/>
      <c r="H44" s="359"/>
      <c r="I44" s="359"/>
      <c r="J44" s="359"/>
      <c r="K44" s="356"/>
      <c r="L44" s="356"/>
      <c r="M44" s="360"/>
    </row>
    <row r="45" spans="2:13" ht="15.75" customHeight="1">
      <c r="B45" s="351"/>
      <c r="C45" s="351"/>
      <c r="D45" s="351"/>
      <c r="E45" s="356"/>
      <c r="F45" s="357"/>
      <c r="G45" s="356"/>
      <c r="H45" s="359"/>
      <c r="I45" s="359"/>
      <c r="J45" s="359"/>
      <c r="K45" s="356"/>
      <c r="L45" s="358"/>
      <c r="M45" s="360"/>
    </row>
    <row r="46" spans="2:13" ht="15.75" customHeight="1">
      <c r="B46" s="351"/>
      <c r="C46" s="351"/>
      <c r="D46" s="351"/>
      <c r="E46" s="356"/>
      <c r="F46" s="357"/>
      <c r="G46" s="356"/>
      <c r="H46" s="356"/>
      <c r="I46" s="361"/>
      <c r="J46" s="356"/>
      <c r="K46" s="356"/>
      <c r="L46" s="356"/>
      <c r="M46" s="362"/>
    </row>
    <row r="47" spans="2:13" ht="18.75">
      <c r="B47" s="123" t="s">
        <v>107</v>
      </c>
      <c r="C47" s="124"/>
      <c r="D47" s="124"/>
      <c r="M47" s="247"/>
    </row>
    <row r="48" spans="2:14" ht="19.5">
      <c r="B48" s="127" t="s">
        <v>240</v>
      </c>
      <c r="C48" s="128"/>
      <c r="D48" s="128"/>
      <c r="L48" s="69"/>
      <c r="M48" s="227"/>
      <c r="N48" s="251">
        <f>+Portada!I34</f>
        <v>3.752</v>
      </c>
    </row>
    <row r="49" spans="2:13" ht="18">
      <c r="B49" s="128" t="s">
        <v>78</v>
      </c>
      <c r="C49" s="126"/>
      <c r="D49" s="126"/>
      <c r="M49" s="209"/>
    </row>
    <row r="50" spans="2:12" ht="16.5">
      <c r="B50" s="130" t="s">
        <v>123</v>
      </c>
      <c r="C50" s="126"/>
      <c r="D50" s="126"/>
      <c r="L50" s="149"/>
    </row>
    <row r="51" spans="2:4" ht="15.75">
      <c r="B51" s="126" t="str">
        <f>+B9</f>
        <v>Período: Desde mayo 2024 al 2043</v>
      </c>
      <c r="C51" s="126"/>
      <c r="D51" s="126"/>
    </row>
    <row r="52" spans="2:13" ht="15.75">
      <c r="B52" s="133" t="s">
        <v>131</v>
      </c>
      <c r="C52" s="133"/>
      <c r="D52" s="133"/>
      <c r="E52" s="134"/>
      <c r="F52" s="132"/>
      <c r="G52" s="134"/>
      <c r="H52" s="134"/>
      <c r="I52" s="135"/>
      <c r="J52" s="134"/>
      <c r="K52" s="134"/>
      <c r="L52" s="134"/>
      <c r="M52" s="134"/>
    </row>
    <row r="53" ht="9.75" customHeight="1"/>
    <row r="54" spans="2:13" ht="19.5" customHeight="1">
      <c r="B54" s="506" t="s">
        <v>93</v>
      </c>
      <c r="C54" s="507"/>
      <c r="D54" s="152"/>
      <c r="E54" s="512" t="s">
        <v>91</v>
      </c>
      <c r="F54" s="513"/>
      <c r="G54" s="514"/>
      <c r="H54" s="512" t="s">
        <v>92</v>
      </c>
      <c r="I54" s="513"/>
      <c r="J54" s="514"/>
      <c r="K54" s="512" t="s">
        <v>31</v>
      </c>
      <c r="L54" s="513"/>
      <c r="M54" s="514"/>
    </row>
    <row r="55" spans="2:13" ht="19.5" customHeight="1">
      <c r="B55" s="508"/>
      <c r="C55" s="509"/>
      <c r="D55" s="153"/>
      <c r="E55" s="139" t="s">
        <v>76</v>
      </c>
      <c r="F55" s="137" t="s">
        <v>77</v>
      </c>
      <c r="G55" s="138" t="s">
        <v>31</v>
      </c>
      <c r="H55" s="139" t="s">
        <v>76</v>
      </c>
      <c r="I55" s="137" t="s">
        <v>77</v>
      </c>
      <c r="J55" s="138" t="s">
        <v>31</v>
      </c>
      <c r="K55" s="139" t="s">
        <v>76</v>
      </c>
      <c r="L55" s="137" t="s">
        <v>77</v>
      </c>
      <c r="M55" s="138" t="s">
        <v>31</v>
      </c>
    </row>
    <row r="56" spans="2:13" ht="9.75" customHeight="1">
      <c r="B56" s="140"/>
      <c r="C56" s="141"/>
      <c r="D56" s="142"/>
      <c r="E56" s="299"/>
      <c r="F56" s="300"/>
      <c r="G56" s="301"/>
      <c r="H56" s="299"/>
      <c r="I56" s="300"/>
      <c r="J56" s="301"/>
      <c r="K56" s="299"/>
      <c r="L56" s="300"/>
      <c r="M56" s="301"/>
    </row>
    <row r="57" spans="2:13" ht="15.75">
      <c r="B57" s="399">
        <v>2024</v>
      </c>
      <c r="C57" s="399" t="e">
        <f>+#REF!+1</f>
        <v>#REF!</v>
      </c>
      <c r="D57" s="414" t="s">
        <v>394</v>
      </c>
      <c r="E57" s="298">
        <f aca="true" t="shared" si="8" ref="E57:F76">ROUND(+E15*$N$48,5)</f>
        <v>4230.33374</v>
      </c>
      <c r="F57" s="296">
        <f t="shared" si="8"/>
        <v>889.82642</v>
      </c>
      <c r="G57" s="297">
        <f aca="true" t="shared" si="9" ref="G57:G69">+F57+E57</f>
        <v>5120.16016</v>
      </c>
      <c r="H57" s="298">
        <f aca="true" t="shared" si="10" ref="H57:I76">ROUND(+H15*$N$48,5)</f>
        <v>415924.05361</v>
      </c>
      <c r="I57" s="296">
        <f t="shared" si="10"/>
        <v>183556.70504</v>
      </c>
      <c r="J57" s="297">
        <f aca="true" t="shared" si="11" ref="J57:J72">+H57+I57</f>
        <v>599480.75865</v>
      </c>
      <c r="K57" s="298">
        <f aca="true" t="shared" si="12" ref="K57:K64">+E57+H57</f>
        <v>420154.38735</v>
      </c>
      <c r="L57" s="296">
        <f aca="true" t="shared" si="13" ref="L57:L64">+F57+I57</f>
        <v>184446.53146</v>
      </c>
      <c r="M57" s="297">
        <f aca="true" t="shared" si="14" ref="M57:M72">+K57+L57</f>
        <v>604600.91881</v>
      </c>
    </row>
    <row r="58" spans="2:13" ht="15.75">
      <c r="B58" s="399">
        <f aca="true" t="shared" si="15" ref="B58:B76">+B57+1</f>
        <v>2025</v>
      </c>
      <c r="C58" s="399" t="e">
        <f aca="true" t="shared" si="16" ref="C58:C72">+C57+1</f>
        <v>#REF!</v>
      </c>
      <c r="D58" s="154"/>
      <c r="E58" s="298">
        <f t="shared" si="8"/>
        <v>8460.66748</v>
      </c>
      <c r="F58" s="296">
        <f t="shared" si="8"/>
        <v>1520.19671</v>
      </c>
      <c r="G58" s="297">
        <f t="shared" si="9"/>
        <v>9980.86419</v>
      </c>
      <c r="H58" s="298">
        <f t="shared" si="10"/>
        <v>468236.845</v>
      </c>
      <c r="I58" s="296">
        <f t="shared" si="10"/>
        <v>201141.39014</v>
      </c>
      <c r="J58" s="297">
        <f t="shared" si="11"/>
        <v>669378.23514</v>
      </c>
      <c r="K58" s="298">
        <f t="shared" si="12"/>
        <v>476697.51248</v>
      </c>
      <c r="L58" s="296">
        <f t="shared" si="13"/>
        <v>202661.58685</v>
      </c>
      <c r="M58" s="297">
        <f t="shared" si="14"/>
        <v>679359.09933</v>
      </c>
    </row>
    <row r="59" spans="2:13" ht="15.75">
      <c r="B59" s="399">
        <f t="shared" si="15"/>
        <v>2026</v>
      </c>
      <c r="C59" s="399" t="e">
        <f t="shared" si="16"/>
        <v>#REF!</v>
      </c>
      <c r="D59" s="154"/>
      <c r="E59" s="298">
        <f t="shared" si="8"/>
        <v>8460.66748</v>
      </c>
      <c r="F59" s="296">
        <f t="shared" si="8"/>
        <v>1163.86563</v>
      </c>
      <c r="G59" s="297">
        <f t="shared" si="9"/>
        <v>9624.53311</v>
      </c>
      <c r="H59" s="298">
        <f t="shared" si="10"/>
        <v>718028.54393</v>
      </c>
      <c r="I59" s="296">
        <f t="shared" si="10"/>
        <v>187120.46754</v>
      </c>
      <c r="J59" s="297">
        <f t="shared" si="11"/>
        <v>905149.01147</v>
      </c>
      <c r="K59" s="298">
        <f t="shared" si="12"/>
        <v>726489.21141</v>
      </c>
      <c r="L59" s="296">
        <f t="shared" si="13"/>
        <v>188284.33317</v>
      </c>
      <c r="M59" s="297">
        <f t="shared" si="14"/>
        <v>914773.54458</v>
      </c>
    </row>
    <row r="60" spans="2:13" ht="15.75">
      <c r="B60" s="399">
        <f t="shared" si="15"/>
        <v>2027</v>
      </c>
      <c r="C60" s="399" t="e">
        <f t="shared" si="16"/>
        <v>#REF!</v>
      </c>
      <c r="D60" s="154"/>
      <c r="E60" s="298">
        <f t="shared" si="8"/>
        <v>8460.66748</v>
      </c>
      <c r="F60" s="296">
        <f t="shared" si="8"/>
        <v>805.97939</v>
      </c>
      <c r="G60" s="297">
        <f t="shared" si="9"/>
        <v>9266.64687</v>
      </c>
      <c r="H60" s="298">
        <f t="shared" si="10"/>
        <v>299694.40183</v>
      </c>
      <c r="I60" s="296">
        <f t="shared" si="10"/>
        <v>146375.4377</v>
      </c>
      <c r="J60" s="297">
        <f t="shared" si="11"/>
        <v>446069.83953</v>
      </c>
      <c r="K60" s="298">
        <f t="shared" si="12"/>
        <v>308155.06931</v>
      </c>
      <c r="L60" s="296">
        <f t="shared" si="13"/>
        <v>147181.41709</v>
      </c>
      <c r="M60" s="297">
        <f t="shared" si="14"/>
        <v>455336.4864</v>
      </c>
    </row>
    <row r="61" spans="2:13" ht="15.75">
      <c r="B61" s="399">
        <f t="shared" si="15"/>
        <v>2028</v>
      </c>
      <c r="C61" s="399" t="e">
        <f t="shared" si="16"/>
        <v>#REF!</v>
      </c>
      <c r="D61" s="154"/>
      <c r="E61" s="298">
        <f t="shared" si="8"/>
        <v>8460.66748</v>
      </c>
      <c r="F61" s="296">
        <f t="shared" si="8"/>
        <v>448.36509</v>
      </c>
      <c r="G61" s="297">
        <f t="shared" si="9"/>
        <v>8909.03257</v>
      </c>
      <c r="H61" s="298">
        <f t="shared" si="10"/>
        <v>250043.43779</v>
      </c>
      <c r="I61" s="296">
        <f t="shared" si="10"/>
        <v>133804.89651</v>
      </c>
      <c r="J61" s="297">
        <f t="shared" si="11"/>
        <v>383848.3343</v>
      </c>
      <c r="K61" s="298">
        <f t="shared" si="12"/>
        <v>258504.10527</v>
      </c>
      <c r="L61" s="296">
        <f t="shared" si="13"/>
        <v>134253.2616</v>
      </c>
      <c r="M61" s="297">
        <f t="shared" si="14"/>
        <v>392757.36687</v>
      </c>
    </row>
    <row r="62" spans="2:13" ht="15.75">
      <c r="B62" s="399">
        <f t="shared" si="15"/>
        <v>2029</v>
      </c>
      <c r="C62" s="399" t="e">
        <f t="shared" si="16"/>
        <v>#REF!</v>
      </c>
      <c r="D62" s="154"/>
      <c r="E62" s="298">
        <f t="shared" si="8"/>
        <v>4230.33306</v>
      </c>
      <c r="F62" s="296">
        <f t="shared" si="8"/>
        <v>89.92471</v>
      </c>
      <c r="G62" s="297">
        <f>+F62+E62</f>
        <v>4320.25777</v>
      </c>
      <c r="H62" s="298">
        <f t="shared" si="10"/>
        <v>235573.81677</v>
      </c>
      <c r="I62" s="296">
        <f t="shared" si="10"/>
        <v>120116.35485</v>
      </c>
      <c r="J62" s="297">
        <f t="shared" si="11"/>
        <v>355690.17162000004</v>
      </c>
      <c r="K62" s="298">
        <f t="shared" si="12"/>
        <v>239804.14983</v>
      </c>
      <c r="L62" s="296">
        <f t="shared" si="13"/>
        <v>120206.27956000001</v>
      </c>
      <c r="M62" s="297">
        <f t="shared" si="14"/>
        <v>360010.42939</v>
      </c>
    </row>
    <row r="63" spans="2:13" ht="15.75">
      <c r="B63" s="399">
        <f t="shared" si="15"/>
        <v>2030</v>
      </c>
      <c r="C63" s="399" t="e">
        <f t="shared" si="16"/>
        <v>#REF!</v>
      </c>
      <c r="D63" s="154"/>
      <c r="E63" s="298">
        <f t="shared" si="8"/>
        <v>0</v>
      </c>
      <c r="F63" s="296">
        <f t="shared" si="8"/>
        <v>0</v>
      </c>
      <c r="G63" s="297">
        <f t="shared" si="9"/>
        <v>0</v>
      </c>
      <c r="H63" s="298">
        <f t="shared" si="10"/>
        <v>281729.65136</v>
      </c>
      <c r="I63" s="296">
        <f t="shared" si="10"/>
        <v>108078.33712</v>
      </c>
      <c r="J63" s="297">
        <f t="shared" si="11"/>
        <v>389807.98848</v>
      </c>
      <c r="K63" s="298">
        <f t="shared" si="12"/>
        <v>281729.65136</v>
      </c>
      <c r="L63" s="296">
        <f t="shared" si="13"/>
        <v>108078.33712</v>
      </c>
      <c r="M63" s="297">
        <f t="shared" si="14"/>
        <v>389807.98848</v>
      </c>
    </row>
    <row r="64" spans="2:13" ht="15.75">
      <c r="B64" s="399">
        <f t="shared" si="15"/>
        <v>2031</v>
      </c>
      <c r="C64" s="399" t="e">
        <f t="shared" si="16"/>
        <v>#REF!</v>
      </c>
      <c r="D64" s="154"/>
      <c r="E64" s="298">
        <f t="shared" si="8"/>
        <v>0</v>
      </c>
      <c r="F64" s="296">
        <f t="shared" si="8"/>
        <v>0</v>
      </c>
      <c r="G64" s="297">
        <f t="shared" si="9"/>
        <v>0</v>
      </c>
      <c r="H64" s="298">
        <f t="shared" si="10"/>
        <v>206573.14545</v>
      </c>
      <c r="I64" s="296">
        <f t="shared" si="10"/>
        <v>96756.075</v>
      </c>
      <c r="J64" s="297">
        <f t="shared" si="11"/>
        <v>303329.22045</v>
      </c>
      <c r="K64" s="298">
        <f t="shared" si="12"/>
        <v>206573.14545</v>
      </c>
      <c r="L64" s="296">
        <f t="shared" si="13"/>
        <v>96756.075</v>
      </c>
      <c r="M64" s="297">
        <f t="shared" si="14"/>
        <v>303329.22045</v>
      </c>
    </row>
    <row r="65" spans="2:13" ht="15.75">
      <c r="B65" s="399">
        <f t="shared" si="15"/>
        <v>2032</v>
      </c>
      <c r="C65" s="399" t="e">
        <f t="shared" si="16"/>
        <v>#REF!</v>
      </c>
      <c r="D65" s="154"/>
      <c r="E65" s="298">
        <f t="shared" si="8"/>
        <v>0</v>
      </c>
      <c r="F65" s="296">
        <f t="shared" si="8"/>
        <v>0</v>
      </c>
      <c r="G65" s="297">
        <f t="shared" si="9"/>
        <v>0</v>
      </c>
      <c r="H65" s="298">
        <f t="shared" si="10"/>
        <v>195741.12791</v>
      </c>
      <c r="I65" s="296">
        <f t="shared" si="10"/>
        <v>92778.12577</v>
      </c>
      <c r="J65" s="297">
        <f t="shared" si="11"/>
        <v>288519.25368</v>
      </c>
      <c r="K65" s="298">
        <f aca="true" t="shared" si="17" ref="K65:K72">+E65+H65</f>
        <v>195741.12791</v>
      </c>
      <c r="L65" s="296">
        <f aca="true" t="shared" si="18" ref="L65:L72">+F65+I65</f>
        <v>92778.12577</v>
      </c>
      <c r="M65" s="297">
        <f t="shared" si="14"/>
        <v>288519.25368</v>
      </c>
    </row>
    <row r="66" spans="2:13" ht="15.75">
      <c r="B66" s="399">
        <f t="shared" si="15"/>
        <v>2033</v>
      </c>
      <c r="C66" s="399" t="e">
        <f t="shared" si="16"/>
        <v>#REF!</v>
      </c>
      <c r="D66" s="154"/>
      <c r="E66" s="298">
        <f t="shared" si="8"/>
        <v>0</v>
      </c>
      <c r="F66" s="296">
        <f t="shared" si="8"/>
        <v>0</v>
      </c>
      <c r="G66" s="297">
        <f t="shared" si="9"/>
        <v>0</v>
      </c>
      <c r="H66" s="298">
        <f t="shared" si="10"/>
        <v>115524.8863</v>
      </c>
      <c r="I66" s="296">
        <f t="shared" si="10"/>
        <v>75064.66355</v>
      </c>
      <c r="J66" s="297">
        <f t="shared" si="11"/>
        <v>190589.54985</v>
      </c>
      <c r="K66" s="298">
        <f t="shared" si="17"/>
        <v>115524.8863</v>
      </c>
      <c r="L66" s="296">
        <f t="shared" si="18"/>
        <v>75064.66355</v>
      </c>
      <c r="M66" s="297">
        <f t="shared" si="14"/>
        <v>190589.54985</v>
      </c>
    </row>
    <row r="67" spans="2:13" ht="15.75">
      <c r="B67" s="399">
        <f t="shared" si="15"/>
        <v>2034</v>
      </c>
      <c r="C67" s="399" t="e">
        <f t="shared" si="16"/>
        <v>#REF!</v>
      </c>
      <c r="D67" s="154"/>
      <c r="E67" s="298">
        <f t="shared" si="8"/>
        <v>0</v>
      </c>
      <c r="F67" s="296">
        <f t="shared" si="8"/>
        <v>0</v>
      </c>
      <c r="G67" s="297">
        <f t="shared" si="9"/>
        <v>0</v>
      </c>
      <c r="H67" s="298">
        <f t="shared" si="10"/>
        <v>104035.97903</v>
      </c>
      <c r="I67" s="296">
        <f t="shared" si="10"/>
        <v>67764.63093</v>
      </c>
      <c r="J67" s="297">
        <f t="shared" si="11"/>
        <v>171800.60996</v>
      </c>
      <c r="K67" s="298">
        <f t="shared" si="17"/>
        <v>104035.97903</v>
      </c>
      <c r="L67" s="296">
        <f t="shared" si="18"/>
        <v>67764.63093</v>
      </c>
      <c r="M67" s="297">
        <f t="shared" si="14"/>
        <v>171800.60996</v>
      </c>
    </row>
    <row r="68" spans="2:13" ht="15.75">
      <c r="B68" s="399">
        <f t="shared" si="15"/>
        <v>2035</v>
      </c>
      <c r="C68" s="399" t="e">
        <f t="shared" si="16"/>
        <v>#REF!</v>
      </c>
      <c r="D68" s="154"/>
      <c r="E68" s="298">
        <f t="shared" si="8"/>
        <v>0</v>
      </c>
      <c r="F68" s="296">
        <f t="shared" si="8"/>
        <v>0</v>
      </c>
      <c r="G68" s="297">
        <f t="shared" si="9"/>
        <v>0</v>
      </c>
      <c r="H68" s="298">
        <f t="shared" si="10"/>
        <v>103954.5362</v>
      </c>
      <c r="I68" s="296">
        <f t="shared" si="10"/>
        <v>60502.76205</v>
      </c>
      <c r="J68" s="297">
        <f t="shared" si="11"/>
        <v>164457.29825</v>
      </c>
      <c r="K68" s="298">
        <f t="shared" si="17"/>
        <v>103954.5362</v>
      </c>
      <c r="L68" s="296">
        <f t="shared" si="18"/>
        <v>60502.76205</v>
      </c>
      <c r="M68" s="297">
        <f t="shared" si="14"/>
        <v>164457.29825</v>
      </c>
    </row>
    <row r="69" spans="2:13" ht="15.75">
      <c r="B69" s="399">
        <f t="shared" si="15"/>
        <v>2036</v>
      </c>
      <c r="C69" s="399" t="e">
        <f t="shared" si="16"/>
        <v>#REF!</v>
      </c>
      <c r="D69" s="154"/>
      <c r="E69" s="298">
        <f t="shared" si="8"/>
        <v>0</v>
      </c>
      <c r="F69" s="296">
        <f t="shared" si="8"/>
        <v>0</v>
      </c>
      <c r="G69" s="297">
        <f t="shared" si="9"/>
        <v>0</v>
      </c>
      <c r="H69" s="298">
        <f t="shared" si="10"/>
        <v>70517.50883</v>
      </c>
      <c r="I69" s="296">
        <f t="shared" si="10"/>
        <v>53718.82387</v>
      </c>
      <c r="J69" s="297">
        <f t="shared" si="11"/>
        <v>124236.3327</v>
      </c>
      <c r="K69" s="298">
        <f t="shared" si="17"/>
        <v>70517.50883</v>
      </c>
      <c r="L69" s="296">
        <f t="shared" si="18"/>
        <v>53718.82387</v>
      </c>
      <c r="M69" s="297">
        <f t="shared" si="14"/>
        <v>124236.3327</v>
      </c>
    </row>
    <row r="70" spans="2:13" ht="15.75">
      <c r="B70" s="399">
        <f t="shared" si="15"/>
        <v>2037</v>
      </c>
      <c r="C70" s="399" t="e">
        <f t="shared" si="16"/>
        <v>#REF!</v>
      </c>
      <c r="D70" s="154"/>
      <c r="E70" s="298">
        <f t="shared" si="8"/>
        <v>0</v>
      </c>
      <c r="F70" s="296">
        <f t="shared" si="8"/>
        <v>0</v>
      </c>
      <c r="G70" s="297">
        <f aca="true" t="shared" si="19" ref="G70:G76">+F70+E70</f>
        <v>0</v>
      </c>
      <c r="H70" s="298">
        <f t="shared" si="10"/>
        <v>67180.7755</v>
      </c>
      <c r="I70" s="296">
        <f t="shared" si="10"/>
        <v>47667.32302</v>
      </c>
      <c r="J70" s="297">
        <f t="shared" si="11"/>
        <v>114848.09852</v>
      </c>
      <c r="K70" s="298">
        <f t="shared" si="17"/>
        <v>67180.7755</v>
      </c>
      <c r="L70" s="296">
        <f t="shared" si="18"/>
        <v>47667.32302</v>
      </c>
      <c r="M70" s="297">
        <f t="shared" si="14"/>
        <v>114848.09852</v>
      </c>
    </row>
    <row r="71" spans="2:13" ht="15.75">
      <c r="B71" s="399">
        <f t="shared" si="15"/>
        <v>2038</v>
      </c>
      <c r="C71" s="399" t="e">
        <f t="shared" si="16"/>
        <v>#REF!</v>
      </c>
      <c r="D71" s="154"/>
      <c r="E71" s="298">
        <f t="shared" si="8"/>
        <v>0</v>
      </c>
      <c r="F71" s="296">
        <f t="shared" si="8"/>
        <v>0</v>
      </c>
      <c r="G71" s="297">
        <f t="shared" si="19"/>
        <v>0</v>
      </c>
      <c r="H71" s="298">
        <f t="shared" si="10"/>
        <v>67024.42215</v>
      </c>
      <c r="I71" s="296">
        <f t="shared" si="10"/>
        <v>41794.96839</v>
      </c>
      <c r="J71" s="297">
        <f t="shared" si="11"/>
        <v>108819.39054</v>
      </c>
      <c r="K71" s="298">
        <f t="shared" si="17"/>
        <v>67024.42215</v>
      </c>
      <c r="L71" s="296">
        <f t="shared" si="18"/>
        <v>41794.96839</v>
      </c>
      <c r="M71" s="297">
        <f t="shared" si="14"/>
        <v>108819.39054</v>
      </c>
    </row>
    <row r="72" spans="2:13" ht="15.75">
      <c r="B72" s="399">
        <f t="shared" si="15"/>
        <v>2039</v>
      </c>
      <c r="C72" s="399" t="e">
        <f t="shared" si="16"/>
        <v>#REF!</v>
      </c>
      <c r="D72" s="154"/>
      <c r="E72" s="298">
        <f t="shared" si="8"/>
        <v>0</v>
      </c>
      <c r="F72" s="296">
        <f t="shared" si="8"/>
        <v>0</v>
      </c>
      <c r="G72" s="297">
        <f t="shared" si="19"/>
        <v>0</v>
      </c>
      <c r="H72" s="298">
        <f t="shared" si="10"/>
        <v>81675.06809</v>
      </c>
      <c r="I72" s="296">
        <f t="shared" si="10"/>
        <v>35584.18911</v>
      </c>
      <c r="J72" s="297">
        <f t="shared" si="11"/>
        <v>117259.2572</v>
      </c>
      <c r="K72" s="298">
        <f t="shared" si="17"/>
        <v>81675.06809</v>
      </c>
      <c r="L72" s="296">
        <f t="shared" si="18"/>
        <v>35584.18911</v>
      </c>
      <c r="M72" s="297">
        <f t="shared" si="14"/>
        <v>117259.2572</v>
      </c>
    </row>
    <row r="73" spans="2:13" ht="15.75">
      <c r="B73" s="399">
        <f t="shared" si="15"/>
        <v>2040</v>
      </c>
      <c r="C73" s="399"/>
      <c r="D73" s="154"/>
      <c r="E73" s="298">
        <f t="shared" si="8"/>
        <v>0</v>
      </c>
      <c r="F73" s="296">
        <f t="shared" si="8"/>
        <v>0</v>
      </c>
      <c r="G73" s="297">
        <f t="shared" si="19"/>
        <v>0</v>
      </c>
      <c r="H73" s="298">
        <f t="shared" si="10"/>
        <v>81562.64609</v>
      </c>
      <c r="I73" s="296">
        <f t="shared" si="10"/>
        <v>28444.4372</v>
      </c>
      <c r="J73" s="297">
        <f>+H73+I73</f>
        <v>110007.08329</v>
      </c>
      <c r="K73" s="298">
        <f aca="true" t="shared" si="20" ref="K73:L76">+E73+H73</f>
        <v>81562.64609</v>
      </c>
      <c r="L73" s="296">
        <f t="shared" si="20"/>
        <v>28444.4372</v>
      </c>
      <c r="M73" s="297">
        <f>+K73+L73</f>
        <v>110007.08329</v>
      </c>
    </row>
    <row r="74" spans="2:13" ht="15.75">
      <c r="B74" s="399">
        <f t="shared" si="15"/>
        <v>2041</v>
      </c>
      <c r="C74" s="399"/>
      <c r="D74" s="154"/>
      <c r="E74" s="298">
        <f t="shared" si="8"/>
        <v>0</v>
      </c>
      <c r="F74" s="296">
        <f t="shared" si="8"/>
        <v>0</v>
      </c>
      <c r="G74" s="297">
        <f t="shared" si="19"/>
        <v>0</v>
      </c>
      <c r="H74" s="298">
        <f t="shared" si="10"/>
        <v>80422.42957</v>
      </c>
      <c r="I74" s="296">
        <f t="shared" si="10"/>
        <v>21145.06851</v>
      </c>
      <c r="J74" s="297">
        <f>+H74+I74</f>
        <v>101567.49807999999</v>
      </c>
      <c r="K74" s="298">
        <f t="shared" si="20"/>
        <v>80422.42957</v>
      </c>
      <c r="L74" s="296">
        <f t="shared" si="20"/>
        <v>21145.06851</v>
      </c>
      <c r="M74" s="297">
        <f>+K74+L74</f>
        <v>101567.49807999999</v>
      </c>
    </row>
    <row r="75" spans="2:13" ht="15.75">
      <c r="B75" s="399">
        <f t="shared" si="15"/>
        <v>2042</v>
      </c>
      <c r="C75" s="399"/>
      <c r="D75" s="154"/>
      <c r="E75" s="298">
        <f t="shared" si="8"/>
        <v>0</v>
      </c>
      <c r="F75" s="296">
        <f t="shared" si="8"/>
        <v>0</v>
      </c>
      <c r="G75" s="297">
        <f t="shared" si="19"/>
        <v>0</v>
      </c>
      <c r="H75" s="298">
        <f t="shared" si="10"/>
        <v>80211.21479</v>
      </c>
      <c r="I75" s="296">
        <f t="shared" si="10"/>
        <v>13945.06849</v>
      </c>
      <c r="J75" s="297">
        <f>+H75+I75</f>
        <v>94156.28328</v>
      </c>
      <c r="K75" s="298">
        <f t="shared" si="20"/>
        <v>80211.21479</v>
      </c>
      <c r="L75" s="296">
        <f t="shared" si="20"/>
        <v>13945.06849</v>
      </c>
      <c r="M75" s="297">
        <f>+K75+L75</f>
        <v>94156.28328</v>
      </c>
    </row>
    <row r="76" spans="2:13" ht="15.75">
      <c r="B76" s="399">
        <f t="shared" si="15"/>
        <v>2043</v>
      </c>
      <c r="C76" s="399"/>
      <c r="D76" s="154"/>
      <c r="E76" s="298">
        <f t="shared" si="8"/>
        <v>0</v>
      </c>
      <c r="F76" s="296">
        <f t="shared" si="8"/>
        <v>0</v>
      </c>
      <c r="G76" s="297">
        <f t="shared" si="19"/>
        <v>0</v>
      </c>
      <c r="H76" s="298">
        <f t="shared" si="10"/>
        <v>95035.20162</v>
      </c>
      <c r="I76" s="296">
        <f t="shared" si="10"/>
        <v>6406.64382</v>
      </c>
      <c r="J76" s="297">
        <f>+H76+I76</f>
        <v>101441.84544</v>
      </c>
      <c r="K76" s="298">
        <f t="shared" si="20"/>
        <v>95035.20162</v>
      </c>
      <c r="L76" s="296">
        <f t="shared" si="20"/>
        <v>6406.64382</v>
      </c>
      <c r="M76" s="297">
        <f>+K76+L76</f>
        <v>101441.84544</v>
      </c>
    </row>
    <row r="77" spans="2:13" ht="8.25" customHeight="1">
      <c r="B77" s="143"/>
      <c r="C77" s="144"/>
      <c r="D77" s="155"/>
      <c r="E77" s="302"/>
      <c r="F77" s="303"/>
      <c r="G77" s="304"/>
      <c r="H77" s="302"/>
      <c r="I77" s="303"/>
      <c r="J77" s="304"/>
      <c r="K77" s="302"/>
      <c r="L77" s="303"/>
      <c r="M77" s="304"/>
    </row>
    <row r="78" spans="2:13" ht="15" customHeight="1">
      <c r="B78" s="515" t="s">
        <v>14</v>
      </c>
      <c r="C78" s="516"/>
      <c r="D78" s="150"/>
      <c r="E78" s="519">
        <f aca="true" t="shared" si="21" ref="E78:M78">SUM(E57:E76)</f>
        <v>42303.33672</v>
      </c>
      <c r="F78" s="521">
        <f t="shared" si="21"/>
        <v>4918.157950000001</v>
      </c>
      <c r="G78" s="510">
        <f t="shared" si="21"/>
        <v>47221.49467</v>
      </c>
      <c r="H78" s="519">
        <f t="shared" si="21"/>
        <v>4018689.6918200003</v>
      </c>
      <c r="I78" s="521">
        <f t="shared" si="21"/>
        <v>1721766.36861</v>
      </c>
      <c r="J78" s="510">
        <f t="shared" si="21"/>
        <v>5740456.0604300015</v>
      </c>
      <c r="K78" s="519">
        <f t="shared" si="21"/>
        <v>4060993.0285400003</v>
      </c>
      <c r="L78" s="521">
        <f t="shared" si="21"/>
        <v>1726684.52656</v>
      </c>
      <c r="M78" s="510">
        <f t="shared" si="21"/>
        <v>5787677.555100001</v>
      </c>
    </row>
    <row r="79" spans="2:13" ht="15" customHeight="1">
      <c r="B79" s="517"/>
      <c r="C79" s="518"/>
      <c r="D79" s="151"/>
      <c r="E79" s="520"/>
      <c r="F79" s="522"/>
      <c r="G79" s="511"/>
      <c r="H79" s="520"/>
      <c r="I79" s="522"/>
      <c r="J79" s="511"/>
      <c r="K79" s="520"/>
      <c r="L79" s="522"/>
      <c r="M79" s="511"/>
    </row>
    <row r="81" ht="15.75">
      <c r="B81" s="145" t="s">
        <v>112</v>
      </c>
    </row>
    <row r="82" ht="15">
      <c r="B82" s="145" t="s">
        <v>421</v>
      </c>
    </row>
    <row r="83" ht="15">
      <c r="B83" s="69" t="s">
        <v>422</v>
      </c>
    </row>
  </sheetData>
  <sheetProtection/>
  <mergeCells count="29">
    <mergeCell ref="B5:D5"/>
    <mergeCell ref="K78:K79"/>
    <mergeCell ref="L78:L79"/>
    <mergeCell ref="M78:M79"/>
    <mergeCell ref="B78:C79"/>
    <mergeCell ref="E78:E79"/>
    <mergeCell ref="F78:F79"/>
    <mergeCell ref="G78:G79"/>
    <mergeCell ref="H78:H79"/>
    <mergeCell ref="I78:I79"/>
    <mergeCell ref="K12:M12"/>
    <mergeCell ref="H36:H37"/>
    <mergeCell ref="E54:G54"/>
    <mergeCell ref="H54:J54"/>
    <mergeCell ref="K54:M54"/>
    <mergeCell ref="I36:I37"/>
    <mergeCell ref="J36:J37"/>
    <mergeCell ref="K36:K37"/>
    <mergeCell ref="L36:L37"/>
    <mergeCell ref="M36:M37"/>
    <mergeCell ref="B54:C55"/>
    <mergeCell ref="G36:G37"/>
    <mergeCell ref="J78:J79"/>
    <mergeCell ref="E12:G12"/>
    <mergeCell ref="H12:J12"/>
    <mergeCell ref="B12:C13"/>
    <mergeCell ref="B36:C37"/>
    <mergeCell ref="E36:E37"/>
    <mergeCell ref="F36:F37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90" r:id="rId2"/>
  <ignoredErrors>
    <ignoredError sqref="G57:G68 G69:G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3" customFormat="1" ht="15" customHeight="1"/>
    <row r="2" s="3" customFormat="1" ht="15" customHeight="1">
      <c r="D2" s="4"/>
    </row>
    <row r="3" s="3" customFormat="1" ht="15" customHeight="1">
      <c r="D3" s="4"/>
    </row>
    <row r="4" spans="2:7" ht="15">
      <c r="B4" s="3"/>
      <c r="C4" s="3"/>
      <c r="D4" s="4"/>
      <c r="E4" s="3"/>
      <c r="F4" s="3"/>
      <c r="G4" s="3"/>
    </row>
    <row r="5" spans="2:7" ht="15">
      <c r="B5" s="3"/>
      <c r="C5" s="3"/>
      <c r="D5" s="3"/>
      <c r="E5" s="3"/>
      <c r="F5" s="3"/>
      <c r="G5" s="3"/>
    </row>
    <row r="6" spans="2:7" ht="35.25" customHeight="1">
      <c r="B6" s="424" t="s">
        <v>235</v>
      </c>
      <c r="C6" s="424"/>
      <c r="D6" s="424"/>
      <c r="E6" s="424"/>
      <c r="F6" s="424"/>
      <c r="G6" s="424"/>
    </row>
    <row r="7" spans="2:7" ht="15.75">
      <c r="B7" s="425" t="str">
        <f>+Indice!B7</f>
        <v>AL 30 DE ABRIL DE 2024</v>
      </c>
      <c r="C7" s="425"/>
      <c r="D7" s="425"/>
      <c r="E7" s="425"/>
      <c r="F7" s="425"/>
      <c r="G7" s="425"/>
    </row>
    <row r="8" spans="2:7" ht="18.75" customHeight="1">
      <c r="B8" s="85"/>
      <c r="C8" s="85"/>
      <c r="D8" s="85"/>
      <c r="E8" s="85"/>
      <c r="F8" s="85"/>
      <c r="G8" s="85"/>
    </row>
    <row r="9" spans="2:7" ht="27.75" customHeight="1">
      <c r="B9" s="203" t="s">
        <v>0</v>
      </c>
      <c r="C9" s="203" t="s">
        <v>1</v>
      </c>
      <c r="D9" s="429" t="s">
        <v>236</v>
      </c>
      <c r="E9" s="429"/>
      <c r="F9" s="429"/>
      <c r="G9" s="429"/>
    </row>
    <row r="10" spans="2:7" ht="58.5" customHeight="1">
      <c r="B10" s="203"/>
      <c r="C10" s="203"/>
      <c r="D10" s="429" t="s">
        <v>114</v>
      </c>
      <c r="E10" s="429"/>
      <c r="F10" s="429"/>
      <c r="G10" s="429"/>
    </row>
    <row r="11" spans="2:7" ht="105" customHeight="1">
      <c r="B11" s="203"/>
      <c r="C11" s="203"/>
      <c r="D11" s="430" t="s">
        <v>115</v>
      </c>
      <c r="E11" s="430"/>
      <c r="F11" s="430"/>
      <c r="G11" s="430"/>
    </row>
    <row r="12" spans="2:7" ht="9" customHeight="1">
      <c r="B12" s="6"/>
      <c r="C12" s="6"/>
      <c r="D12" s="7"/>
      <c r="E12" s="7"/>
      <c r="F12" s="7"/>
      <c r="G12" s="7"/>
    </row>
    <row r="13" spans="2:7" ht="23.25" customHeight="1">
      <c r="B13" s="8" t="s">
        <v>8</v>
      </c>
      <c r="C13" s="9" t="s">
        <v>1</v>
      </c>
      <c r="D13" s="432" t="s">
        <v>396</v>
      </c>
      <c r="E13" s="432"/>
      <c r="F13" s="432"/>
      <c r="G13" s="432"/>
    </row>
    <row r="14" spans="2:7" ht="9" customHeight="1">
      <c r="B14" s="8"/>
      <c r="C14" s="9"/>
      <c r="D14" s="10"/>
      <c r="E14" s="10"/>
      <c r="F14" s="10"/>
      <c r="G14" s="10"/>
    </row>
    <row r="15" spans="2:7" ht="23.25" customHeight="1">
      <c r="B15" s="9" t="s">
        <v>2</v>
      </c>
      <c r="C15" s="9" t="s">
        <v>1</v>
      </c>
      <c r="D15" s="11">
        <v>45412</v>
      </c>
      <c r="E15" s="5"/>
      <c r="F15" s="5"/>
      <c r="G15" s="5"/>
    </row>
    <row r="16" spans="2:7" ht="8.25" customHeight="1">
      <c r="B16" s="9"/>
      <c r="C16" s="9"/>
      <c r="D16" s="11"/>
      <c r="E16" s="5"/>
      <c r="F16" s="5"/>
      <c r="G16" s="5"/>
    </row>
    <row r="17" spans="2:7" ht="24.75" customHeight="1">
      <c r="B17" s="9" t="s">
        <v>9</v>
      </c>
      <c r="C17" s="9" t="s">
        <v>1</v>
      </c>
      <c r="D17" s="5" t="s">
        <v>3</v>
      </c>
      <c r="E17" s="5"/>
      <c r="F17" s="5"/>
      <c r="G17" s="5"/>
    </row>
    <row r="18" spans="2:7" ht="6.75" customHeight="1">
      <c r="B18" s="9"/>
      <c r="C18" s="9"/>
      <c r="D18" s="5"/>
      <c r="E18" s="5"/>
      <c r="F18" s="5"/>
      <c r="G18" s="5"/>
    </row>
    <row r="19" spans="2:7" ht="14.25" customHeight="1">
      <c r="B19" s="6" t="s">
        <v>4</v>
      </c>
      <c r="C19" s="6" t="s">
        <v>1</v>
      </c>
      <c r="D19" s="12" t="s">
        <v>61</v>
      </c>
      <c r="E19" s="12"/>
      <c r="F19" s="12"/>
      <c r="G19" s="12"/>
    </row>
    <row r="20" spans="2:7" ht="27.75" customHeight="1">
      <c r="B20" s="6"/>
      <c r="C20" s="6"/>
      <c r="D20" s="431" t="s">
        <v>237</v>
      </c>
      <c r="E20" s="431"/>
      <c r="F20" s="431"/>
      <c r="G20" s="431"/>
    </row>
    <row r="21" spans="2:7" ht="15.75" customHeight="1">
      <c r="B21" s="6"/>
      <c r="C21" s="6"/>
      <c r="D21" s="12" t="s">
        <v>72</v>
      </c>
      <c r="E21" s="12"/>
      <c r="F21" s="12"/>
      <c r="G21" s="12"/>
    </row>
    <row r="22" spans="2:7" ht="6.75" customHeight="1">
      <c r="B22" s="6"/>
      <c r="C22" s="6"/>
      <c r="D22" s="12"/>
      <c r="E22" s="12"/>
      <c r="F22" s="12"/>
      <c r="G22" s="12"/>
    </row>
    <row r="23" spans="2:7" ht="15">
      <c r="B23" s="9" t="s">
        <v>5</v>
      </c>
      <c r="C23" s="9" t="s">
        <v>1</v>
      </c>
      <c r="D23" s="5" t="s">
        <v>207</v>
      </c>
      <c r="E23" s="5"/>
      <c r="F23" s="5"/>
      <c r="G23" s="5"/>
    </row>
    <row r="24" spans="2:7" ht="16.5" customHeight="1">
      <c r="B24" s="9"/>
      <c r="C24" s="9"/>
      <c r="D24" s="5" t="s">
        <v>208</v>
      </c>
      <c r="E24" s="5"/>
      <c r="F24" s="5"/>
      <c r="G24" s="5"/>
    </row>
    <row r="25" spans="2:7" ht="6" customHeight="1">
      <c r="B25" s="9"/>
      <c r="C25" s="9"/>
      <c r="D25" s="5"/>
      <c r="E25" s="5"/>
      <c r="F25" s="5"/>
      <c r="G25" s="5"/>
    </row>
    <row r="26" spans="2:8" ht="15">
      <c r="B26" s="9" t="s">
        <v>6</v>
      </c>
      <c r="C26" s="9" t="s">
        <v>1</v>
      </c>
      <c r="D26" s="311" t="s">
        <v>12</v>
      </c>
      <c r="E26" s="13"/>
      <c r="F26" s="13"/>
      <c r="G26" s="13"/>
      <c r="H26" s="13"/>
    </row>
    <row r="27" spans="2:7" ht="7.5" customHeight="1">
      <c r="B27" s="9"/>
      <c r="C27" s="9"/>
      <c r="D27" s="5"/>
      <c r="E27" s="5"/>
      <c r="F27" s="5"/>
      <c r="G27" s="5"/>
    </row>
    <row r="28" spans="2:7" ht="20.25" customHeight="1">
      <c r="B28" s="9" t="s">
        <v>7</v>
      </c>
      <c r="C28" s="9" t="s">
        <v>1</v>
      </c>
      <c r="D28" s="11">
        <v>45443</v>
      </c>
      <c r="E28" s="5"/>
      <c r="F28" s="5"/>
      <c r="G28" s="5"/>
    </row>
    <row r="29" spans="2:7" ht="7.5" customHeight="1">
      <c r="B29" s="9"/>
      <c r="C29" s="9"/>
      <c r="D29" s="11"/>
      <c r="E29" s="5"/>
      <c r="F29" s="5"/>
      <c r="G29" s="5"/>
    </row>
    <row r="30" spans="2:7" ht="18" customHeight="1">
      <c r="B30" s="14" t="s">
        <v>10</v>
      </c>
      <c r="C30" s="15" t="s">
        <v>1</v>
      </c>
      <c r="D30" s="430" t="s">
        <v>73</v>
      </c>
      <c r="E30" s="430"/>
      <c r="F30" s="430"/>
      <c r="G30" s="430"/>
    </row>
    <row r="31" spans="2:7" ht="6" customHeight="1">
      <c r="B31" s="14"/>
      <c r="C31" s="15"/>
      <c r="D31" s="7"/>
      <c r="E31" s="7"/>
      <c r="F31" s="7"/>
      <c r="G31" s="7"/>
    </row>
    <row r="32" spans="2:7" ht="27.75" customHeight="1">
      <c r="B32" s="6" t="s">
        <v>23</v>
      </c>
      <c r="C32" s="6" t="s">
        <v>1</v>
      </c>
      <c r="D32" s="433" t="s">
        <v>127</v>
      </c>
      <c r="E32" s="433"/>
      <c r="F32" s="433"/>
      <c r="G32" s="433"/>
    </row>
    <row r="33" spans="4:7" ht="7.5" customHeight="1">
      <c r="D33" s="429"/>
      <c r="E33" s="429"/>
      <c r="F33" s="429"/>
      <c r="G33" s="429"/>
    </row>
    <row r="34" spans="2:9" ht="28.5" customHeight="1">
      <c r="B34" s="6" t="s">
        <v>11</v>
      </c>
      <c r="C34" s="6" t="s">
        <v>1</v>
      </c>
      <c r="D34" s="430" t="s">
        <v>133</v>
      </c>
      <c r="E34" s="430"/>
      <c r="F34" s="430"/>
      <c r="G34" s="430"/>
      <c r="I34" s="250">
        <v>3.752</v>
      </c>
    </row>
    <row r="35" spans="4:7" ht="15.75" customHeight="1">
      <c r="D35" s="429"/>
      <c r="E35" s="429"/>
      <c r="F35" s="429"/>
      <c r="G35" s="429"/>
    </row>
    <row r="36" spans="2:7" ht="15">
      <c r="B36" s="6" t="s">
        <v>59</v>
      </c>
      <c r="C36" s="6" t="s">
        <v>1</v>
      </c>
      <c r="D36" s="5" t="s">
        <v>60</v>
      </c>
      <c r="E36" s="5"/>
      <c r="F36" s="5"/>
      <c r="G36" s="5"/>
    </row>
    <row r="37" spans="4:7" ht="15">
      <c r="D37" s="429"/>
      <c r="E37" s="429"/>
      <c r="F37" s="429"/>
      <c r="G37" s="429"/>
    </row>
    <row r="38" spans="4:7" ht="15">
      <c r="D38" s="429"/>
      <c r="E38" s="429"/>
      <c r="F38" s="429"/>
      <c r="G38" s="429"/>
    </row>
    <row r="39" spans="4:7" ht="15">
      <c r="D39" s="429"/>
      <c r="E39" s="429"/>
      <c r="F39" s="429"/>
      <c r="G39" s="429"/>
    </row>
    <row r="40" spans="4:7" ht="15">
      <c r="D40" s="429"/>
      <c r="E40" s="429"/>
      <c r="F40" s="429"/>
      <c r="G40" s="429"/>
    </row>
    <row r="41" spans="4:7" ht="15">
      <c r="D41" s="429"/>
      <c r="E41" s="429"/>
      <c r="F41" s="429"/>
      <c r="G41" s="429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61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08" customWidth="1"/>
    <col min="2" max="2" width="26.421875" style="108" customWidth="1"/>
    <col min="3" max="5" width="16.7109375" style="108" customWidth="1"/>
    <col min="6" max="6" width="4.28125" style="108" customWidth="1"/>
    <col min="7" max="7" width="33.57421875" style="108" customWidth="1"/>
    <col min="8" max="10" width="16.7109375" style="108" customWidth="1"/>
    <col min="11" max="11" width="0.71875" style="108" customWidth="1"/>
    <col min="12" max="12" width="10.8515625" style="108" customWidth="1"/>
    <col min="13" max="13" width="11.421875" style="108" customWidth="1"/>
    <col min="14" max="14" width="15.7109375" style="191" customWidth="1"/>
    <col min="15" max="15" width="15.7109375" style="50" customWidth="1"/>
    <col min="16" max="16384" width="15.7109375" style="49" customWidth="1"/>
  </cols>
  <sheetData>
    <row r="5" spans="2:10" s="1" customFormat="1" ht="19.5" customHeight="1">
      <c r="B5" s="424" t="s">
        <v>167</v>
      </c>
      <c r="C5" s="424"/>
      <c r="D5" s="424"/>
      <c r="E5" s="424"/>
      <c r="F5" s="424"/>
      <c r="G5" s="424"/>
      <c r="H5" s="424"/>
      <c r="I5" s="424"/>
      <c r="J5" s="424"/>
    </row>
    <row r="6" spans="2:10" s="1" customFormat="1" ht="19.5" customHeight="1">
      <c r="B6" s="444" t="s">
        <v>235</v>
      </c>
      <c r="C6" s="444"/>
      <c r="D6" s="444"/>
      <c r="E6" s="444"/>
      <c r="F6" s="444"/>
      <c r="G6" s="444"/>
      <c r="H6" s="444"/>
      <c r="I6" s="444"/>
      <c r="J6" s="444"/>
    </row>
    <row r="7" spans="2:10" s="1" customFormat="1" ht="18" customHeight="1">
      <c r="B7" s="443" t="str">
        <f>+Indice!B7</f>
        <v>AL 30 DE ABRIL DE 2024</v>
      </c>
      <c r="C7" s="443"/>
      <c r="D7" s="443"/>
      <c r="E7" s="443"/>
      <c r="F7" s="443"/>
      <c r="G7" s="443"/>
      <c r="H7" s="443"/>
      <c r="I7" s="443"/>
      <c r="J7" s="443"/>
    </row>
    <row r="8" spans="2:10" s="1" customFormat="1" ht="19.5" customHeight="1">
      <c r="B8" s="442"/>
      <c r="C8" s="442"/>
      <c r="D8" s="442"/>
      <c r="E8" s="442"/>
      <c r="F8" s="442"/>
      <c r="G8" s="214"/>
      <c r="H8" s="214"/>
      <c r="I8" s="214"/>
      <c r="J8" s="214"/>
    </row>
    <row r="9" spans="2:10" s="1" customFormat="1" ht="15.75">
      <c r="B9" s="310" t="s">
        <v>128</v>
      </c>
      <c r="C9" s="310"/>
      <c r="D9" s="310"/>
      <c r="E9" s="310"/>
      <c r="F9" s="310"/>
      <c r="G9" s="310"/>
      <c r="H9" s="310"/>
      <c r="I9" s="310"/>
      <c r="J9" s="310"/>
    </row>
    <row r="10" spans="2:10" s="1" customFormat="1" ht="12" customHeight="1">
      <c r="B10" s="58"/>
      <c r="C10" s="85"/>
      <c r="D10" s="85"/>
      <c r="E10" s="85"/>
      <c r="F10" s="85"/>
      <c r="G10" s="85"/>
      <c r="H10" s="58"/>
      <c r="I10" s="58"/>
      <c r="J10" s="58"/>
    </row>
    <row r="11" spans="2:10" ht="19.5" customHeight="1">
      <c r="B11" s="437" t="s">
        <v>24</v>
      </c>
      <c r="C11" s="438"/>
      <c r="D11" s="438"/>
      <c r="E11" s="439"/>
      <c r="F11" s="107"/>
      <c r="G11" s="437" t="s">
        <v>25</v>
      </c>
      <c r="H11" s="438"/>
      <c r="I11" s="438"/>
      <c r="J11" s="439"/>
    </row>
    <row r="12" spans="2:10" ht="19.5" customHeight="1">
      <c r="B12" s="109"/>
      <c r="C12" s="309" t="s">
        <v>13</v>
      </c>
      <c r="D12" s="309" t="s">
        <v>129</v>
      </c>
      <c r="E12" s="312" t="s">
        <v>26</v>
      </c>
      <c r="F12" s="110"/>
      <c r="G12" s="111"/>
      <c r="H12" s="309" t="s">
        <v>13</v>
      </c>
      <c r="I12" s="309" t="s">
        <v>129</v>
      </c>
      <c r="J12" s="312" t="s">
        <v>26</v>
      </c>
    </row>
    <row r="13" spans="2:10" ht="19.5" customHeight="1">
      <c r="B13" s="112" t="s">
        <v>29</v>
      </c>
      <c r="C13" s="307">
        <f>('DGRGL-C1'!C18+'DGRGL-C1'!C46)/1000</f>
        <v>952.6389409999999</v>
      </c>
      <c r="D13" s="307">
        <f>('DGRGL-C1'!D18+'DGRGL-C1'!D46)/1000</f>
        <v>3574.30130663</v>
      </c>
      <c r="E13" s="366">
        <f>+D13/$D$15</f>
        <v>0.9883030242805172</v>
      </c>
      <c r="F13" s="113"/>
      <c r="G13" s="112" t="s">
        <v>30</v>
      </c>
      <c r="H13" s="305">
        <f>(+'DGRGL-C3'!C18+'DGRGL-C3'!C44)/1000</f>
        <v>640.0761394799999</v>
      </c>
      <c r="I13" s="305">
        <f>(+'DGRGL-C3'!D18+'DGRGL-C3'!D44)/1000</f>
        <v>2401.56567532</v>
      </c>
      <c r="J13" s="366">
        <f>+I13/$I$15</f>
        <v>0.6640387634716285</v>
      </c>
    </row>
    <row r="14" spans="2:10" ht="19.5" customHeight="1">
      <c r="B14" s="112" t="s">
        <v>27</v>
      </c>
      <c r="C14" s="307">
        <f>+'DGRGL-C1'!C15/1000</f>
        <v>11.27487652</v>
      </c>
      <c r="D14" s="307">
        <f>+'DGRGL-C1'!D15/1000</f>
        <v>42.3033367</v>
      </c>
      <c r="E14" s="366">
        <f>+D14/$D$15</f>
        <v>0.011696975719482867</v>
      </c>
      <c r="F14" s="113"/>
      <c r="G14" s="112" t="s">
        <v>28</v>
      </c>
      <c r="H14" s="305">
        <f>(+'DGRGL-C3'!C15+'DGRGL-C3'!C42)/1000</f>
        <v>323.83767804</v>
      </c>
      <c r="I14" s="305">
        <f>(+'DGRGL-C3'!D15+'DGRGL-C3'!D42)/1000</f>
        <v>1215.03896800608</v>
      </c>
      <c r="J14" s="366">
        <f>+I14/$I$15</f>
        <v>0.33596123652837157</v>
      </c>
    </row>
    <row r="15" spans="2:10" ht="19.5" customHeight="1">
      <c r="B15" s="114" t="s">
        <v>31</v>
      </c>
      <c r="C15" s="308">
        <f>+C14+C13</f>
        <v>963.91381752</v>
      </c>
      <c r="D15" s="308">
        <f>+D14+D13</f>
        <v>3616.60464333</v>
      </c>
      <c r="E15" s="367">
        <f>SUM(E13:E14)</f>
        <v>1</v>
      </c>
      <c r="F15" s="115"/>
      <c r="G15" s="114" t="s">
        <v>31</v>
      </c>
      <c r="H15" s="306">
        <f>+H14+H13</f>
        <v>963.91381752</v>
      </c>
      <c r="I15" s="306">
        <f>+I14+I13</f>
        <v>3616.60464332608</v>
      </c>
      <c r="J15" s="367">
        <f>SUM(J13:J14)</f>
        <v>1</v>
      </c>
    </row>
    <row r="16" spans="2:10" ht="19.5" customHeight="1">
      <c r="B16" s="158"/>
      <c r="C16" s="164"/>
      <c r="D16" s="192"/>
      <c r="E16" s="115"/>
      <c r="F16" s="115"/>
      <c r="G16" s="228"/>
      <c r="H16" s="229">
        <f>+H15-C15</f>
        <v>0</v>
      </c>
      <c r="I16" s="230">
        <f>+I15-D15</f>
        <v>-3.919922164641321E-09</v>
      </c>
      <c r="J16" s="115"/>
    </row>
    <row r="18" spans="2:10" ht="19.5" customHeight="1">
      <c r="B18" s="437" t="s">
        <v>32</v>
      </c>
      <c r="C18" s="438"/>
      <c r="D18" s="438"/>
      <c r="E18" s="439"/>
      <c r="F18" s="107"/>
      <c r="G18" s="437" t="s">
        <v>71</v>
      </c>
      <c r="H18" s="438"/>
      <c r="I18" s="438"/>
      <c r="J18" s="439"/>
    </row>
    <row r="19" spans="2:10" ht="19.5" customHeight="1">
      <c r="B19" s="111"/>
      <c r="C19" s="309" t="s">
        <v>13</v>
      </c>
      <c r="D19" s="309" t="s">
        <v>129</v>
      </c>
      <c r="E19" s="312" t="s">
        <v>26</v>
      </c>
      <c r="F19" s="110"/>
      <c r="G19" s="194"/>
      <c r="H19" s="309" t="s">
        <v>13</v>
      </c>
      <c r="I19" s="309" t="s">
        <v>129</v>
      </c>
      <c r="J19" s="315" t="s">
        <v>26</v>
      </c>
    </row>
    <row r="20" spans="2:10" ht="19.5" customHeight="1">
      <c r="B20" s="112" t="s">
        <v>86</v>
      </c>
      <c r="C20" s="307">
        <f>('DGRGL-C2'!C15+'DGRGL-C2'!C20)/1000</f>
        <v>390.72210248</v>
      </c>
      <c r="D20" s="307">
        <f>('DGRGL-C2'!D15+'DGRGL-C2'!D20)/1000</f>
        <v>1465.9893285</v>
      </c>
      <c r="E20" s="366">
        <f>+D20/$D$23</f>
        <v>0.40534962294086585</v>
      </c>
      <c r="F20" s="113"/>
      <c r="G20" s="324" t="s">
        <v>160</v>
      </c>
      <c r="H20" s="313">
        <f>(+'DGRGL-C5'!C19+'DGRGL-C5'!C46+'DGRGL-C5'!C58)/1000</f>
        <v>586.35699613</v>
      </c>
      <c r="I20" s="313">
        <f>(+'DGRGL-C5'!D19+'DGRGL-C5'!D46+'DGRGL-C5'!D58)/1000</f>
        <v>2200.011449469999</v>
      </c>
      <c r="J20" s="368">
        <f aca="true" t="shared" si="0" ref="J20:J27">+I20/$I$28</f>
        <v>0.6083085287006698</v>
      </c>
    </row>
    <row r="21" spans="2:10" ht="19.5" customHeight="1">
      <c r="B21" s="112" t="s">
        <v>85</v>
      </c>
      <c r="C21" s="307">
        <f>('DGRGL-C2'!C16+'DGRGL-C2'!C21)/1000</f>
        <v>562.55909685</v>
      </c>
      <c r="D21" s="307">
        <f>('DGRGL-C2'!D16+'DGRGL-C2'!D21)/1000</f>
        <v>2110.7217313799997</v>
      </c>
      <c r="E21" s="366">
        <f>+D21/$D$23</f>
        <v>0.5836197039874799</v>
      </c>
      <c r="F21" s="113"/>
      <c r="G21" s="324" t="s">
        <v>395</v>
      </c>
      <c r="H21" s="313">
        <f>+'DGRGL-C5'!C33/1000</f>
        <v>321.16204691</v>
      </c>
      <c r="I21" s="313">
        <f>+'DGRGL-C5'!D33/1000</f>
        <v>1205.0000000100001</v>
      </c>
      <c r="J21" s="368">
        <f t="shared" si="0"/>
        <v>0.3331854374062366</v>
      </c>
    </row>
    <row r="22" spans="2:10" ht="19.5" customHeight="1">
      <c r="B22" s="112" t="s">
        <v>231</v>
      </c>
      <c r="C22" s="307">
        <f>('DGRGL-C2'!C17+'DGRGL-C2'!C22)/1000</f>
        <v>10.632618189999999</v>
      </c>
      <c r="D22" s="307">
        <f>('DGRGL-C2'!D17+'DGRGL-C2'!D22)/1000</f>
        <v>39.89358345</v>
      </c>
      <c r="E22" s="366">
        <f>+D22/$D$23</f>
        <v>0.011030673071654264</v>
      </c>
      <c r="F22" s="115"/>
      <c r="G22" s="324" t="s">
        <v>147</v>
      </c>
      <c r="H22" s="313">
        <f>(+'DGRGL-C5'!C43+'DGRGL-C5'!C103)/1000</f>
        <v>34.401567840000006</v>
      </c>
      <c r="I22" s="313">
        <f>(+'DGRGL-C5'!D43+'DGRGL-C5'!D103)/1000</f>
        <v>129.07468253</v>
      </c>
      <c r="J22" s="368">
        <f t="shared" si="0"/>
        <v>0.035689464362217656</v>
      </c>
    </row>
    <row r="23" spans="2:10" ht="25.5">
      <c r="B23" s="114" t="s">
        <v>31</v>
      </c>
      <c r="C23" s="308">
        <f>+C21+C20+C22</f>
        <v>963.91381752</v>
      </c>
      <c r="D23" s="308">
        <f>+D21+D20+D22</f>
        <v>3616.60464333</v>
      </c>
      <c r="E23" s="367">
        <f>+E21+E20+E22</f>
        <v>1</v>
      </c>
      <c r="F23" s="115"/>
      <c r="G23" s="195" t="s">
        <v>161</v>
      </c>
      <c r="H23" s="313">
        <f>+'DGRGL-C5'!C28/1000</f>
        <v>11.27487652</v>
      </c>
      <c r="I23" s="313">
        <f>+'DGRGL-C5'!D28/1000</f>
        <v>42.3033367</v>
      </c>
      <c r="J23" s="368">
        <f t="shared" si="0"/>
        <v>0.011696975719515211</v>
      </c>
    </row>
    <row r="24" spans="3:10" ht="19.5" customHeight="1">
      <c r="C24" s="231"/>
      <c r="D24" s="395"/>
      <c r="E24" s="232"/>
      <c r="F24" s="115"/>
      <c r="G24" s="324" t="s">
        <v>252</v>
      </c>
      <c r="H24" s="313">
        <f>(+'DGRGL-C5'!C100)/1000</f>
        <v>10.004946980000001</v>
      </c>
      <c r="I24" s="313">
        <f>(+'DGRGL-C5'!D100)/1000</f>
        <v>37.53856107</v>
      </c>
      <c r="J24" s="368">
        <f t="shared" si="0"/>
        <v>0.010379503642825624</v>
      </c>
    </row>
    <row r="25" spans="3:10" ht="19.5" customHeight="1">
      <c r="C25" s="231"/>
      <c r="D25" s="395"/>
      <c r="E25" s="232"/>
      <c r="F25" s="115"/>
      <c r="G25" s="324" t="s">
        <v>152</v>
      </c>
      <c r="H25" s="313">
        <f>(+'DGRGL-C5'!C38+'DGRGL-C5'!C98)/1000</f>
        <v>0.68286747</v>
      </c>
      <c r="I25" s="313">
        <f>(+'DGRGL-C5'!D38+'DGRGL-C5'!D98)/1000</f>
        <v>2.5621187500000002</v>
      </c>
      <c r="J25" s="368">
        <f t="shared" si="0"/>
        <v>0.0007084320799986604</v>
      </c>
    </row>
    <row r="26" spans="2:10" ht="19.5" customHeight="1">
      <c r="B26" s="434" t="s">
        <v>33</v>
      </c>
      <c r="C26" s="435"/>
      <c r="D26" s="435"/>
      <c r="E26" s="436"/>
      <c r="F26" s="115"/>
      <c r="G26" s="324" t="s">
        <v>197</v>
      </c>
      <c r="H26" s="313">
        <f>+'DGRGL-C5'!C40/1000</f>
        <v>0.02960999</v>
      </c>
      <c r="I26" s="313">
        <f>+'DGRGL-C5'!D40/1000</f>
        <v>0.11109668</v>
      </c>
      <c r="J26" s="368">
        <f t="shared" si="0"/>
        <v>3.07185028380693E-05</v>
      </c>
    </row>
    <row r="27" spans="2:10" ht="19.5" customHeight="1">
      <c r="B27" s="111"/>
      <c r="C27" s="309" t="s">
        <v>13</v>
      </c>
      <c r="D27" s="309" t="s">
        <v>129</v>
      </c>
      <c r="E27" s="312" t="s">
        <v>26</v>
      </c>
      <c r="F27" s="107"/>
      <c r="G27" s="324" t="s">
        <v>248</v>
      </c>
      <c r="H27" s="313">
        <f>(+'DGRGL-C5'!C39+'DGRGL-C5'!C99)/1000</f>
        <v>0.0009056800000000001</v>
      </c>
      <c r="I27" s="313">
        <f>(+'DGRGL-C5'!D39+'DGRGL-C5'!D99)/1000</f>
        <v>0.0033981099999999998</v>
      </c>
      <c r="J27" s="368">
        <f t="shared" si="0"/>
        <v>9.395856985021664E-07</v>
      </c>
    </row>
    <row r="28" spans="2:10" ht="19.5" customHeight="1">
      <c r="B28" s="112" t="s">
        <v>238</v>
      </c>
      <c r="C28" s="305">
        <f>(+'DGRGL-C5'!C19+'DGRGL-C5'!C46+'DGRGL-C5'!C58)/1000</f>
        <v>586.35699613</v>
      </c>
      <c r="D28" s="305">
        <f>('DGRGL-C5'!D19+'DGRGL-C5'!D46+'DGRGL-C5'!D58)/1000</f>
        <v>2200.011449469999</v>
      </c>
      <c r="E28" s="366">
        <f>+C28/$C$32</f>
        <v>0.6083085287008387</v>
      </c>
      <c r="F28" s="110"/>
      <c r="G28" s="114" t="s">
        <v>31</v>
      </c>
      <c r="H28" s="314">
        <f>SUM(H20:H27)</f>
        <v>963.9138175200001</v>
      </c>
      <c r="I28" s="314">
        <f>SUM(I20:I27)</f>
        <v>3616.604643319999</v>
      </c>
      <c r="J28" s="369">
        <f>SUM(J20:J27)</f>
        <v>1.0000000000000002</v>
      </c>
    </row>
    <row r="29" spans="2:7" ht="19.5" customHeight="1">
      <c r="B29" s="112" t="s">
        <v>63</v>
      </c>
      <c r="C29" s="305">
        <f>(+'DGRGL-C5'!C35+'DGRGL-C5'!C42+'DGRGL-C5'!C97+'DGRGL-C5'!C102)/1000</f>
        <v>45.11989796</v>
      </c>
      <c r="D29" s="305">
        <f>(+'DGRGL-C5'!D35+'DGRGL-C5'!D42+'DGRGL-C5'!D97+'DGRGL-C5'!D102)/1000</f>
        <v>169.28985714</v>
      </c>
      <c r="E29" s="366">
        <f>+C29/$C$32</f>
        <v>0.046809058175020735</v>
      </c>
      <c r="F29" s="113"/>
      <c r="G29" s="108" t="s">
        <v>162</v>
      </c>
    </row>
    <row r="30" spans="2:10" ht="19.5" customHeight="1">
      <c r="B30" s="112" t="s">
        <v>51</v>
      </c>
      <c r="C30" s="305">
        <f>(+'DGRGL-C5'!C27)/1000</f>
        <v>11.27487652</v>
      </c>
      <c r="D30" s="305">
        <f>(+'DGRGL-C5'!D27)/1000</f>
        <v>42.3033367</v>
      </c>
      <c r="E30" s="366">
        <f>+C30/$C$32</f>
        <v>0.011696975720307132</v>
      </c>
      <c r="F30" s="113"/>
      <c r="G30" s="108" t="s">
        <v>163</v>
      </c>
      <c r="H30" s="415"/>
      <c r="I30" s="415"/>
      <c r="J30" s="416"/>
    </row>
    <row r="31" spans="2:6" ht="19.5" customHeight="1">
      <c r="B31" s="112" t="s">
        <v>395</v>
      </c>
      <c r="C31" s="305">
        <f>(+'DGRGL-C5'!C33)/1000</f>
        <v>321.16204691</v>
      </c>
      <c r="D31" s="305">
        <f>(+'DGRGL-C5'!D33)/1000</f>
        <v>1205.0000000100001</v>
      </c>
      <c r="E31" s="366">
        <f>+C31/$C$32</f>
        <v>0.33318543740383333</v>
      </c>
      <c r="F31" s="113"/>
    </row>
    <row r="32" spans="2:9" ht="19.5" customHeight="1">
      <c r="B32" s="114" t="s">
        <v>31</v>
      </c>
      <c r="C32" s="306">
        <f>+C28+C29+C30+C31</f>
        <v>963.9138175200001</v>
      </c>
      <c r="D32" s="306">
        <f>+D28+D29+D30+D31</f>
        <v>3616.604643319999</v>
      </c>
      <c r="E32" s="367">
        <f>+E28+E29+E30+E31</f>
        <v>0.9999999999999999</v>
      </c>
      <c r="F32" s="113"/>
      <c r="H32" s="376"/>
      <c r="I32" s="376"/>
    </row>
    <row r="33" spans="2:6" ht="19.5" customHeight="1">
      <c r="B33" s="108" t="s">
        <v>239</v>
      </c>
      <c r="C33" s="394"/>
      <c r="D33" s="396"/>
      <c r="E33" s="49"/>
      <c r="F33" s="113"/>
    </row>
    <row r="34" ht="19.5" customHeight="1">
      <c r="F34" s="115"/>
    </row>
    <row r="35" spans="2:10" ht="19.5" customHeight="1">
      <c r="B35" s="434" t="s">
        <v>23</v>
      </c>
      <c r="C35" s="435"/>
      <c r="D35" s="435"/>
      <c r="E35" s="436"/>
      <c r="F35" s="196"/>
      <c r="G35" s="434" t="s">
        <v>62</v>
      </c>
      <c r="H35" s="435"/>
      <c r="I35" s="435"/>
      <c r="J35" s="436"/>
    </row>
    <row r="36" spans="2:10" ht="19.5" customHeight="1">
      <c r="B36" s="111"/>
      <c r="C36" s="309" t="s">
        <v>13</v>
      </c>
      <c r="D36" s="309" t="s">
        <v>129</v>
      </c>
      <c r="E36" s="312" t="s">
        <v>26</v>
      </c>
      <c r="F36" s="107"/>
      <c r="G36" s="109"/>
      <c r="H36" s="440" t="s">
        <v>13</v>
      </c>
      <c r="I36" s="440"/>
      <c r="J36" s="441"/>
    </row>
    <row r="37" spans="2:10" ht="19.5" customHeight="1">
      <c r="B37" s="112" t="s">
        <v>129</v>
      </c>
      <c r="C37" s="305">
        <f>(+'DGRGL-C4'!C15+'DGRGL-C4'!C58)/1000</f>
        <v>782.8324412499999</v>
      </c>
      <c r="D37" s="305">
        <f>(+'DGRGL-C4'!D15+'DGRGL-C4'!D58)/1000</f>
        <v>2937.1873195723997</v>
      </c>
      <c r="E37" s="366">
        <f>+D37/$D$41</f>
        <v>0.8121394537795058</v>
      </c>
      <c r="F37" s="110"/>
      <c r="G37" s="325" t="s">
        <v>93</v>
      </c>
      <c r="H37" s="309" t="s">
        <v>27</v>
      </c>
      <c r="I37" s="309" t="s">
        <v>29</v>
      </c>
      <c r="J37" s="327" t="s">
        <v>31</v>
      </c>
    </row>
    <row r="38" spans="2:10" ht="19.5" customHeight="1">
      <c r="B38" s="112" t="s">
        <v>34</v>
      </c>
      <c r="C38" s="305">
        <f>(+'DGRGL-C4'!C29)/1000</f>
        <v>171.60781311999997</v>
      </c>
      <c r="D38" s="305">
        <f>(+'DGRGL-C4'!D29)/1000</f>
        <v>643.87251482</v>
      </c>
      <c r="E38" s="366">
        <f>+D38/$D$41</f>
        <v>0.17803231990177534</v>
      </c>
      <c r="F38" s="110"/>
      <c r="G38" s="198">
        <v>2009</v>
      </c>
      <c r="H38" s="305">
        <v>71</v>
      </c>
      <c r="I38" s="305">
        <v>192</v>
      </c>
      <c r="J38" s="328">
        <f aca="true" t="shared" si="1" ref="J38:J49">+I38+H38</f>
        <v>263</v>
      </c>
    </row>
    <row r="39" spans="2:10" ht="19.5" customHeight="1">
      <c r="B39" s="112" t="s">
        <v>35</v>
      </c>
      <c r="C39" s="305">
        <f>(+'DGRGL-C4'!C24)/1000</f>
        <v>0</v>
      </c>
      <c r="D39" s="305">
        <f>(+'DGRGL-C4'!D24)/1000</f>
        <v>0</v>
      </c>
      <c r="E39" s="366">
        <f>+D39/$D$41</f>
        <v>0</v>
      </c>
      <c r="F39" s="115"/>
      <c r="G39" s="198">
        <v>2010</v>
      </c>
      <c r="H39" s="305">
        <v>72</v>
      </c>
      <c r="I39" s="305">
        <v>249</v>
      </c>
      <c r="J39" s="328">
        <f t="shared" si="1"/>
        <v>321</v>
      </c>
    </row>
    <row r="40" spans="2:10" ht="19.5" customHeight="1">
      <c r="B40" s="112" t="s">
        <v>36</v>
      </c>
      <c r="C40" s="305">
        <f>(+'DGRGL-C4'!C34)/1000</f>
        <v>9.47356315</v>
      </c>
      <c r="D40" s="305">
        <f>(+'DGRGL-C4'!D34)/1000</f>
        <v>35.54480894</v>
      </c>
      <c r="E40" s="366">
        <f>+D40/$D$41</f>
        <v>0.009828226318718769</v>
      </c>
      <c r="F40" s="115"/>
      <c r="G40" s="198">
        <v>2011</v>
      </c>
      <c r="H40" s="305">
        <v>70</v>
      </c>
      <c r="I40" s="305">
        <v>315</v>
      </c>
      <c r="J40" s="328">
        <f t="shared" si="1"/>
        <v>385</v>
      </c>
    </row>
    <row r="41" spans="2:10" ht="19.5" customHeight="1">
      <c r="B41" s="114" t="s">
        <v>31</v>
      </c>
      <c r="C41" s="306">
        <f>+C40+C38+C39+C37</f>
        <v>963.9138175199998</v>
      </c>
      <c r="D41" s="306">
        <f>+D40+D38+D39+D37</f>
        <v>3616.6046433324</v>
      </c>
      <c r="E41" s="367">
        <f>+E40+E38+E39+E37</f>
        <v>0.9999999999999999</v>
      </c>
      <c r="F41" s="115"/>
      <c r="G41" s="198">
        <v>2012</v>
      </c>
      <c r="H41" s="305">
        <v>63.198</v>
      </c>
      <c r="I41" s="313">
        <v>425.85551902000003</v>
      </c>
      <c r="J41" s="328">
        <f t="shared" si="1"/>
        <v>489.05351902</v>
      </c>
    </row>
    <row r="42" spans="2:10" ht="19.5" customHeight="1">
      <c r="B42" s="112" t="s">
        <v>38</v>
      </c>
      <c r="C42" s="305">
        <f>+C37</f>
        <v>782.8324412499999</v>
      </c>
      <c r="D42" s="305">
        <f>+D37</f>
        <v>2937.1873195723997</v>
      </c>
      <c r="E42" s="366">
        <f>+C42/$C$44</f>
        <v>0.8121394537782495</v>
      </c>
      <c r="F42" s="115"/>
      <c r="G42" s="198">
        <v>2013</v>
      </c>
      <c r="H42" s="305">
        <v>56.5285205</v>
      </c>
      <c r="I42" s="313">
        <v>591.0717845600001</v>
      </c>
      <c r="J42" s="328">
        <f t="shared" si="1"/>
        <v>647.6003050600001</v>
      </c>
    </row>
    <row r="43" spans="2:10" ht="19.5" customHeight="1">
      <c r="B43" s="112" t="s">
        <v>37</v>
      </c>
      <c r="C43" s="305">
        <f>+C39+C38+C40</f>
        <v>181.08137626999996</v>
      </c>
      <c r="D43" s="305">
        <f>+D39+D38+D40</f>
        <v>679.41732376</v>
      </c>
      <c r="E43" s="366">
        <f>+C43/$C$44</f>
        <v>0.18786054622175055</v>
      </c>
      <c r="F43" s="113"/>
      <c r="G43" s="198">
        <v>2014</v>
      </c>
      <c r="H43" s="305">
        <v>50.26007419</v>
      </c>
      <c r="I43" s="305">
        <v>752.8751732600001</v>
      </c>
      <c r="J43" s="328">
        <f t="shared" si="1"/>
        <v>803.1352474500001</v>
      </c>
    </row>
    <row r="44" spans="2:10" ht="19.5" customHeight="1">
      <c r="B44" s="114" t="s">
        <v>31</v>
      </c>
      <c r="C44" s="306">
        <f>+C43+C42</f>
        <v>963.9138175199998</v>
      </c>
      <c r="D44" s="306">
        <f>+D43+D42</f>
        <v>3616.6046433324</v>
      </c>
      <c r="E44" s="367">
        <f>+E43+E42</f>
        <v>1</v>
      </c>
      <c r="F44" s="113"/>
      <c r="G44" s="198">
        <v>2015</v>
      </c>
      <c r="H44" s="305">
        <v>44.4029874</v>
      </c>
      <c r="I44" s="305">
        <v>911.7782794100002</v>
      </c>
      <c r="J44" s="328">
        <f t="shared" si="1"/>
        <v>956.1812668100002</v>
      </c>
    </row>
    <row r="45" spans="2:10" ht="19.5" customHeight="1">
      <c r="B45" s="49"/>
      <c r="C45" s="49"/>
      <c r="D45" s="49"/>
      <c r="E45" s="49"/>
      <c r="F45" s="115"/>
      <c r="G45" s="198">
        <v>2016</v>
      </c>
      <c r="H45" s="305">
        <v>38.965713019999995</v>
      </c>
      <c r="I45" s="305">
        <v>1125.5192306200001</v>
      </c>
      <c r="J45" s="328">
        <f t="shared" si="1"/>
        <v>1164.4849436400002</v>
      </c>
    </row>
    <row r="46" spans="7:10" ht="19.5" customHeight="1">
      <c r="G46" s="198">
        <v>2017</v>
      </c>
      <c r="H46" s="305">
        <v>33.93910748</v>
      </c>
      <c r="I46" s="305">
        <v>695.27858884</v>
      </c>
      <c r="J46" s="328">
        <f t="shared" si="1"/>
        <v>729.21769632</v>
      </c>
    </row>
    <row r="47" spans="2:10" ht="19.5" customHeight="1">
      <c r="B47" s="434" t="s">
        <v>8</v>
      </c>
      <c r="C47" s="435"/>
      <c r="D47" s="435"/>
      <c r="E47" s="436"/>
      <c r="F47" s="107"/>
      <c r="G47" s="377">
        <v>2018</v>
      </c>
      <c r="H47" s="305">
        <v>29.32455225</v>
      </c>
      <c r="I47" s="305">
        <v>1046.91136084</v>
      </c>
      <c r="J47" s="328">
        <f t="shared" si="1"/>
        <v>1076.23591309</v>
      </c>
    </row>
    <row r="48" spans="2:10" ht="19.5" customHeight="1">
      <c r="B48" s="109"/>
      <c r="C48" s="309" t="s">
        <v>13</v>
      </c>
      <c r="D48" s="309" t="s">
        <v>129</v>
      </c>
      <c r="E48" s="312" t="s">
        <v>26</v>
      </c>
      <c r="F48" s="110"/>
      <c r="G48" s="377">
        <v>2019</v>
      </c>
      <c r="H48" s="305">
        <v>25.11588378</v>
      </c>
      <c r="I48" s="305">
        <v>1051.14683938</v>
      </c>
      <c r="J48" s="328">
        <f t="shared" si="1"/>
        <v>1076.2627231600002</v>
      </c>
    </row>
    <row r="49" spans="2:10" ht="19.5" customHeight="1">
      <c r="B49" s="112" t="s">
        <v>47</v>
      </c>
      <c r="C49" s="305">
        <f>(+'DGRGL-C2'!C14)/1000</f>
        <v>933.48089007</v>
      </c>
      <c r="D49" s="305">
        <f>(+'DGRGL-C2'!D14)/1000</f>
        <v>3502.42029954</v>
      </c>
      <c r="E49" s="366">
        <f>+D49/$D$51</f>
        <v>0.9684277505973491</v>
      </c>
      <c r="F49" s="200"/>
      <c r="G49" s="377">
        <v>2020</v>
      </c>
      <c r="H49" s="305">
        <v>21.32238415</v>
      </c>
      <c r="I49" s="305">
        <v>752.79007244</v>
      </c>
      <c r="J49" s="328">
        <f t="shared" si="1"/>
        <v>774.11245659</v>
      </c>
    </row>
    <row r="50" spans="2:10" ht="19.5" customHeight="1">
      <c r="B50" s="112" t="s">
        <v>46</v>
      </c>
      <c r="C50" s="305">
        <f>(+'DGRGL-C2'!C19)/1000</f>
        <v>30.432927449999998</v>
      </c>
      <c r="D50" s="305">
        <f>(+'DGRGL-C2'!D19)/1000</f>
        <v>114.18434379</v>
      </c>
      <c r="E50" s="366">
        <f>+D50/$D$51</f>
        <v>0.03157224940265088</v>
      </c>
      <c r="F50" s="200"/>
      <c r="G50" s="377">
        <v>2021</v>
      </c>
      <c r="H50" s="305">
        <v>17.93927132</v>
      </c>
      <c r="I50" s="305">
        <v>726.5431257600001</v>
      </c>
      <c r="J50" s="328">
        <f>+I50+H50</f>
        <v>744.48239708</v>
      </c>
    </row>
    <row r="51" spans="2:10" ht="19.5" customHeight="1">
      <c r="B51" s="114" t="s">
        <v>31</v>
      </c>
      <c r="C51" s="306">
        <f>+C50+C49</f>
        <v>963.91381752</v>
      </c>
      <c r="D51" s="306">
        <f>+D50+D49</f>
        <v>3616.6046433300003</v>
      </c>
      <c r="E51" s="367">
        <f>+E50+E49</f>
        <v>1</v>
      </c>
      <c r="F51" s="200"/>
      <c r="G51" s="410" t="s">
        <v>283</v>
      </c>
      <c r="H51" s="305">
        <v>14.9630181</v>
      </c>
      <c r="I51" s="305">
        <v>666.9443867900001</v>
      </c>
      <c r="J51" s="328">
        <f>+I51+H51</f>
        <v>681.9074048900001</v>
      </c>
    </row>
    <row r="52" spans="2:10" ht="19.5" customHeight="1">
      <c r="B52" s="110"/>
      <c r="C52" s="404"/>
      <c r="D52" s="404"/>
      <c r="E52" s="405"/>
      <c r="F52" s="200"/>
      <c r="G52" s="410" t="s">
        <v>377</v>
      </c>
      <c r="H52" s="305">
        <v>12.40236419</v>
      </c>
      <c r="I52" s="305">
        <v>1014.1072922000001</v>
      </c>
      <c r="J52" s="328">
        <f>+I52+H52</f>
        <v>1026.5096563900001</v>
      </c>
    </row>
    <row r="53" spans="2:10" ht="19.5" customHeight="1">
      <c r="B53" s="110"/>
      <c r="C53" s="404"/>
      <c r="D53" s="404"/>
      <c r="E53" s="405"/>
      <c r="F53" s="200"/>
      <c r="G53" s="411" t="s">
        <v>423</v>
      </c>
      <c r="H53" s="326">
        <f>+C14</f>
        <v>11.27487652</v>
      </c>
      <c r="I53" s="326">
        <f>+C13</f>
        <v>952.6389409999999</v>
      </c>
      <c r="J53" s="329">
        <f>+I53+H53</f>
        <v>963.91381752</v>
      </c>
    </row>
    <row r="54" spans="2:6" ht="19.5" customHeight="1">
      <c r="B54" s="110"/>
      <c r="C54" s="404"/>
      <c r="D54" s="404"/>
      <c r="E54" s="405"/>
      <c r="F54" s="200"/>
    </row>
    <row r="55" spans="2:10" ht="19.5" customHeight="1">
      <c r="B55" s="49"/>
      <c r="C55" s="49"/>
      <c r="D55" s="49"/>
      <c r="E55" s="49"/>
      <c r="F55" s="200"/>
      <c r="G55" s="49"/>
      <c r="H55" s="49"/>
      <c r="I55" s="49"/>
      <c r="J55" s="49"/>
    </row>
    <row r="56" spans="2:6" ht="19.5" customHeight="1">
      <c r="B56" s="49"/>
      <c r="C56" s="49"/>
      <c r="D56" s="49"/>
      <c r="E56" s="49"/>
      <c r="F56" s="115"/>
    </row>
    <row r="57" spans="3:4" ht="19.5" customHeight="1">
      <c r="C57" s="233">
        <f>+C51-C44</f>
        <v>0</v>
      </c>
      <c r="D57" s="233">
        <f>+D51-D44</f>
        <v>-2.399701770627871E-09</v>
      </c>
    </row>
    <row r="58" spans="2:4" ht="19.5" customHeight="1">
      <c r="B58" s="197"/>
      <c r="C58" s="234"/>
      <c r="D58" s="234"/>
    </row>
    <row r="59" spans="3:4" ht="19.5" customHeight="1">
      <c r="C59" s="235">
        <f>+C51-C41</f>
        <v>0</v>
      </c>
      <c r="D59" s="235">
        <f>+D51-D41</f>
        <v>-2.399701770627871E-09</v>
      </c>
    </row>
    <row r="60" spans="3:10" ht="25.5" customHeight="1">
      <c r="C60" s="210"/>
      <c r="D60" s="199"/>
      <c r="H60" s="222"/>
      <c r="I60" s="222"/>
      <c r="J60" s="193"/>
    </row>
    <row r="61" spans="7:10" ht="19.5" customHeight="1">
      <c r="G61" s="236"/>
      <c r="H61" s="237">
        <f>+H53-C14</f>
        <v>0</v>
      </c>
      <c r="I61" s="237">
        <f>+I53-C13</f>
        <v>0</v>
      </c>
      <c r="J61" s="236"/>
    </row>
  </sheetData>
  <sheetProtection/>
  <mergeCells count="13">
    <mergeCell ref="B8:F8"/>
    <mergeCell ref="B5:J5"/>
    <mergeCell ref="B7:J7"/>
    <mergeCell ref="B11:E11"/>
    <mergeCell ref="G11:J11"/>
    <mergeCell ref="B6:J6"/>
    <mergeCell ref="B47:E47"/>
    <mergeCell ref="B35:E35"/>
    <mergeCell ref="B18:E18"/>
    <mergeCell ref="G18:J18"/>
    <mergeCell ref="B26:E26"/>
    <mergeCell ref="H36:J36"/>
    <mergeCell ref="G35:J35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ignoredErrors>
    <ignoredError sqref="G51:G5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3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49" customWidth="1"/>
    <col min="2" max="2" width="16.7109375" style="49" customWidth="1"/>
    <col min="3" max="11" width="16.7109375" style="108" customWidth="1"/>
    <col min="12" max="12" width="2.421875" style="108" customWidth="1"/>
    <col min="13" max="14" width="15.7109375" style="108" customWidth="1"/>
    <col min="15" max="16384" width="15.7109375" style="49" customWidth="1"/>
  </cols>
  <sheetData>
    <row r="1" s="3" customFormat="1" ht="15.75" customHeight="1"/>
    <row r="2" s="3" customFormat="1" ht="15.75" customHeight="1">
      <c r="D2" s="4"/>
    </row>
    <row r="3" s="3" customFormat="1" ht="15.75" customHeight="1">
      <c r="D3" s="4"/>
    </row>
    <row r="4" spans="1:14" s="1" customFormat="1" ht="18" customHeight="1">
      <c r="A4" s="3"/>
      <c r="B4" s="3"/>
      <c r="C4" s="3"/>
      <c r="D4" s="3"/>
      <c r="E4" s="3"/>
      <c r="F4" s="3"/>
      <c r="G4" s="211"/>
      <c r="H4" s="211"/>
      <c r="I4" s="211"/>
      <c r="J4" s="211"/>
      <c r="K4" s="211"/>
      <c r="L4" s="211"/>
      <c r="M4" s="211"/>
      <c r="N4" s="211"/>
    </row>
    <row r="5" spans="1:14" s="1" customFormat="1" ht="19.5" customHeight="1">
      <c r="A5" s="3"/>
      <c r="B5" s="450" t="s">
        <v>168</v>
      </c>
      <c r="C5" s="450"/>
      <c r="D5" s="450"/>
      <c r="E5" s="450"/>
      <c r="F5" s="450"/>
      <c r="G5" s="450"/>
      <c r="H5" s="450"/>
      <c r="I5" s="450"/>
      <c r="J5" s="450"/>
      <c r="K5" s="450"/>
      <c r="L5" s="211"/>
      <c r="M5" s="211"/>
      <c r="N5" s="211"/>
    </row>
    <row r="6" spans="1:14" s="1" customFormat="1" ht="19.5" customHeight="1">
      <c r="A6" s="3"/>
      <c r="B6" s="444" t="s">
        <v>235</v>
      </c>
      <c r="C6" s="444"/>
      <c r="D6" s="444"/>
      <c r="E6" s="444"/>
      <c r="F6" s="444"/>
      <c r="G6" s="444"/>
      <c r="H6" s="444"/>
      <c r="I6" s="444"/>
      <c r="J6" s="444"/>
      <c r="K6" s="444"/>
      <c r="L6" s="211"/>
      <c r="M6" s="211"/>
      <c r="N6" s="211"/>
    </row>
    <row r="7" spans="1:14" s="1" customFormat="1" ht="18" customHeight="1">
      <c r="A7" s="3"/>
      <c r="B7" s="425" t="str">
        <f>+Indice!B7</f>
        <v>AL 30 DE ABRIL DE 2024</v>
      </c>
      <c r="C7" s="425"/>
      <c r="D7" s="425"/>
      <c r="E7" s="425"/>
      <c r="F7" s="425"/>
      <c r="G7" s="425"/>
      <c r="H7" s="425"/>
      <c r="I7" s="425"/>
      <c r="J7" s="425"/>
      <c r="K7" s="425"/>
      <c r="L7" s="211"/>
      <c r="M7" s="211"/>
      <c r="N7" s="211"/>
    </row>
    <row r="8" spans="1:14" s="1" customFormat="1" ht="19.5" customHeight="1">
      <c r="A8" s="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1"/>
      <c r="M8" s="211"/>
      <c r="N8" s="211"/>
    </row>
    <row r="9" spans="1:14" s="1" customFormat="1" ht="19.5" customHeight="1">
      <c r="A9" s="3"/>
      <c r="B9" s="213"/>
      <c r="C9" s="213"/>
      <c r="D9" s="213"/>
      <c r="E9" s="213"/>
      <c r="F9" s="213"/>
      <c r="G9" s="213"/>
      <c r="H9" s="213"/>
      <c r="I9" s="213"/>
      <c r="J9" s="186"/>
      <c r="K9" s="186"/>
      <c r="L9" s="211"/>
      <c r="M9" s="211"/>
      <c r="N9" s="211"/>
    </row>
    <row r="10" spans="2:11" ht="19.5" customHeight="1">
      <c r="B10" s="445" t="s">
        <v>15</v>
      </c>
      <c r="C10" s="445"/>
      <c r="D10" s="445"/>
      <c r="E10" s="446" t="s">
        <v>39</v>
      </c>
      <c r="F10" s="446"/>
      <c r="G10" s="446"/>
      <c r="H10" s="451" t="s">
        <v>40</v>
      </c>
      <c r="I10" s="451"/>
      <c r="J10" s="451"/>
      <c r="K10" s="451"/>
    </row>
    <row r="17" ht="19.5" customHeight="1">
      <c r="I17" s="201"/>
    </row>
    <row r="20" spans="7:8" ht="19.5" customHeight="1">
      <c r="G20" s="202"/>
      <c r="H20" s="202"/>
    </row>
    <row r="22" ht="19.5" customHeight="1">
      <c r="H22" s="108" t="s">
        <v>216</v>
      </c>
    </row>
    <row r="24" spans="2:15" ht="19.5" customHeight="1">
      <c r="B24" s="445" t="s">
        <v>41</v>
      </c>
      <c r="C24" s="445"/>
      <c r="D24" s="445"/>
      <c r="E24" s="446" t="s">
        <v>42</v>
      </c>
      <c r="F24" s="446"/>
      <c r="G24" s="446"/>
      <c r="H24" s="446" t="s">
        <v>44</v>
      </c>
      <c r="I24" s="446"/>
      <c r="J24" s="446"/>
      <c r="K24" s="446"/>
      <c r="L24" s="446"/>
      <c r="M24" s="446"/>
      <c r="N24" s="446"/>
      <c r="O24" s="446"/>
    </row>
    <row r="37" spans="1:15" ht="19.5" customHeight="1">
      <c r="A37" s="108"/>
      <c r="B37" s="173"/>
      <c r="C37" s="173"/>
      <c r="D37" s="173"/>
      <c r="E37" s="108" t="s">
        <v>239</v>
      </c>
      <c r="F37" s="173"/>
      <c r="G37" s="173"/>
      <c r="H37" s="174"/>
      <c r="J37" s="173"/>
      <c r="K37" s="173"/>
      <c r="O37" s="108"/>
    </row>
    <row r="38" spans="1:15" ht="19.5" customHeight="1">
      <c r="A38" s="108"/>
      <c r="B38" s="108"/>
      <c r="H38" s="174" t="s">
        <v>164</v>
      </c>
      <c r="O38" s="108"/>
    </row>
    <row r="39" spans="1:15" ht="19.5" customHeight="1">
      <c r="A39" s="108"/>
      <c r="B39" s="448" t="s">
        <v>45</v>
      </c>
      <c r="C39" s="448"/>
      <c r="D39" s="448"/>
      <c r="E39" s="448"/>
      <c r="F39" s="448"/>
      <c r="G39" s="175"/>
      <c r="H39" s="446" t="s">
        <v>48</v>
      </c>
      <c r="I39" s="446"/>
      <c r="J39" s="446"/>
      <c r="K39" s="446"/>
      <c r="L39" s="446"/>
      <c r="M39" s="446"/>
      <c r="O39" s="108"/>
    </row>
    <row r="40" spans="1:15" ht="19.5" customHeight="1">
      <c r="A40" s="449" t="s">
        <v>43</v>
      </c>
      <c r="B40" s="449"/>
      <c r="C40" s="449"/>
      <c r="D40" s="449"/>
      <c r="E40" s="449"/>
      <c r="F40" s="449"/>
      <c r="O40" s="108"/>
    </row>
    <row r="41" spans="1:15" ht="19.5" customHeight="1">
      <c r="A41" s="108"/>
      <c r="B41" s="108"/>
      <c r="O41" s="108"/>
    </row>
    <row r="42" spans="1:15" ht="19.5" customHeight="1">
      <c r="A42" s="108"/>
      <c r="B42" s="108"/>
      <c r="O42" s="108"/>
    </row>
    <row r="43" spans="1:15" ht="19.5" customHeight="1">
      <c r="A43" s="108"/>
      <c r="B43" s="108"/>
      <c r="O43" s="108"/>
    </row>
    <row r="44" spans="1:15" ht="19.5" customHeight="1">
      <c r="A44" s="108"/>
      <c r="B44" s="108"/>
      <c r="O44" s="108"/>
    </row>
    <row r="45" spans="1:15" ht="19.5" customHeight="1">
      <c r="A45" s="108"/>
      <c r="B45" s="108"/>
      <c r="O45" s="108"/>
    </row>
    <row r="46" spans="1:15" ht="19.5" customHeight="1">
      <c r="A46" s="108"/>
      <c r="B46" s="108"/>
      <c r="O46" s="108"/>
    </row>
    <row r="47" spans="1:15" ht="19.5" customHeight="1">
      <c r="A47" s="108"/>
      <c r="B47" s="108"/>
      <c r="O47" s="108"/>
    </row>
    <row r="48" spans="1:15" ht="19.5" customHeight="1">
      <c r="A48" s="108"/>
      <c r="B48" s="108"/>
      <c r="O48" s="108"/>
    </row>
    <row r="49" spans="1:15" ht="19.5" customHeight="1">
      <c r="A49" s="108"/>
      <c r="B49" s="108"/>
      <c r="O49" s="108"/>
    </row>
    <row r="50" spans="1:15" ht="19.5" customHeight="1">
      <c r="A50" s="108"/>
      <c r="B50" s="108"/>
      <c r="O50" s="108"/>
    </row>
    <row r="51" spans="1:15" ht="19.5" customHeight="1">
      <c r="A51" s="108"/>
      <c r="B51" s="108"/>
      <c r="O51" s="108"/>
    </row>
    <row r="52" spans="1:15" ht="19.5" customHeight="1">
      <c r="A52" s="108"/>
      <c r="B52" s="108"/>
      <c r="O52" s="108"/>
    </row>
    <row r="53" spans="1:15" ht="19.5" customHeight="1">
      <c r="A53" s="108"/>
      <c r="B53" s="447"/>
      <c r="C53" s="447"/>
      <c r="O53" s="108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H54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8" customWidth="1"/>
    <col min="2" max="2" width="46.8515625" style="18" customWidth="1"/>
    <col min="3" max="4" width="19.7109375" style="18" customWidth="1"/>
    <col min="5" max="5" width="11.421875" style="57" customWidth="1"/>
    <col min="6" max="6" width="11.421875" style="159" customWidth="1"/>
    <col min="7" max="7" width="16.8515625" style="159" bestFit="1" customWidth="1"/>
    <col min="8" max="8" width="15.140625" style="159" customWidth="1"/>
    <col min="9" max="9" width="25.28125" style="159" bestFit="1" customWidth="1"/>
    <col min="10" max="13" width="11.421875" style="57" customWidth="1"/>
    <col min="14" max="23" width="11.421875" style="18" customWidth="1"/>
    <col min="24" max="16384" width="11.421875" style="16" customWidth="1"/>
  </cols>
  <sheetData>
    <row r="1" ht="15"/>
    <row r="2" ht="15"/>
    <row r="3" ht="15"/>
    <row r="5" spans="2:8" ht="18.75">
      <c r="B5" s="80" t="s">
        <v>17</v>
      </c>
      <c r="C5" s="116"/>
      <c r="D5" s="116"/>
      <c r="F5" s="452"/>
      <c r="G5" s="452"/>
      <c r="H5" s="452"/>
    </row>
    <row r="6" spans="2:4" ht="18" customHeight="1">
      <c r="B6" s="128" t="s">
        <v>240</v>
      </c>
      <c r="C6" s="128"/>
      <c r="D6" s="128"/>
    </row>
    <row r="7" spans="2:8" ht="15.75">
      <c r="B7" s="126" t="s">
        <v>64</v>
      </c>
      <c r="C7" s="126"/>
      <c r="D7" s="126"/>
      <c r="E7" s="163"/>
      <c r="F7" s="238"/>
      <c r="G7" s="238"/>
      <c r="H7" s="238"/>
    </row>
    <row r="8" spans="2:8" ht="15.75" customHeight="1">
      <c r="B8" s="126" t="s">
        <v>122</v>
      </c>
      <c r="C8" s="126"/>
      <c r="D8" s="126"/>
      <c r="E8" s="163"/>
      <c r="F8" s="238"/>
      <c r="H8" s="239"/>
    </row>
    <row r="9" spans="2:8" ht="15.75">
      <c r="B9" s="264" t="s">
        <v>405</v>
      </c>
      <c r="C9" s="264"/>
      <c r="D9" s="215"/>
      <c r="E9" s="251">
        <f>+Portada!I34</f>
        <v>3.752</v>
      </c>
      <c r="F9" s="238"/>
      <c r="G9" s="240"/>
      <c r="H9" s="239"/>
    </row>
    <row r="10" spans="2:8" ht="12.75" customHeight="1">
      <c r="B10" s="117"/>
      <c r="C10" s="117"/>
      <c r="D10" s="117"/>
      <c r="E10" s="163"/>
      <c r="F10" s="238"/>
      <c r="G10" s="238"/>
      <c r="H10" s="238"/>
    </row>
    <row r="11" spans="2:8" ht="15" customHeight="1">
      <c r="B11" s="453" t="s">
        <v>125</v>
      </c>
      <c r="C11" s="465" t="s">
        <v>53</v>
      </c>
      <c r="D11" s="462" t="s">
        <v>130</v>
      </c>
      <c r="E11" s="163"/>
      <c r="F11" s="238"/>
      <c r="G11" s="238"/>
      <c r="H11" s="238"/>
    </row>
    <row r="12" spans="2:8" ht="13.5" customHeight="1">
      <c r="B12" s="454"/>
      <c r="C12" s="466"/>
      <c r="D12" s="463"/>
      <c r="E12" s="212"/>
      <c r="F12" s="238"/>
      <c r="G12" s="238"/>
      <c r="H12" s="238"/>
    </row>
    <row r="13" spans="2:8" ht="9" customHeight="1">
      <c r="B13" s="455"/>
      <c r="C13" s="467"/>
      <c r="D13" s="464"/>
      <c r="E13" s="163"/>
      <c r="F13" s="238"/>
      <c r="G13" s="238"/>
      <c r="H13" s="238"/>
    </row>
    <row r="14" spans="2:8" ht="9.75" customHeight="1">
      <c r="B14" s="178"/>
      <c r="C14" s="179"/>
      <c r="D14" s="180"/>
      <c r="F14" s="238"/>
      <c r="G14" s="238"/>
      <c r="H14" s="238"/>
    </row>
    <row r="15" spans="2:8" ht="16.5">
      <c r="B15" s="249" t="s">
        <v>134</v>
      </c>
      <c r="C15" s="252">
        <f>+C16</f>
        <v>11274.87652</v>
      </c>
      <c r="D15" s="252">
        <f>+D16</f>
        <v>42303.3367</v>
      </c>
      <c r="F15" s="238"/>
      <c r="G15" s="242"/>
      <c r="H15" s="242"/>
    </row>
    <row r="16" spans="2:8" ht="15">
      <c r="B16" s="21" t="s">
        <v>85</v>
      </c>
      <c r="C16" s="253">
        <v>11274.87652</v>
      </c>
      <c r="D16" s="253">
        <f>ROUND(+C16*$E$9,5)</f>
        <v>42303.3367</v>
      </c>
      <c r="E16" s="382"/>
      <c r="F16" s="238"/>
      <c r="G16" s="242"/>
      <c r="H16" s="242"/>
    </row>
    <row r="17" spans="2:8" ht="15">
      <c r="B17" s="21"/>
      <c r="C17" s="253"/>
      <c r="D17" s="253"/>
      <c r="F17" s="238"/>
      <c r="G17" s="242"/>
      <c r="H17" s="242"/>
    </row>
    <row r="18" spans="2:8" ht="16.5">
      <c r="B18" s="56" t="s">
        <v>108</v>
      </c>
      <c r="C18" s="252">
        <f>SUM(C19:C21)</f>
        <v>922206.0135499999</v>
      </c>
      <c r="D18" s="252">
        <f>SUM(D19:D21)</f>
        <v>3460116.96284</v>
      </c>
      <c r="E18" s="248"/>
      <c r="F18" s="238" t="s">
        <v>118</v>
      </c>
      <c r="G18" s="241">
        <f>+C19+C48</f>
        <v>421155.02993</v>
      </c>
      <c r="H18" s="241">
        <f>+D19+D48</f>
        <v>1580173.6722900001</v>
      </c>
    </row>
    <row r="19" spans="2:8" ht="15">
      <c r="B19" s="21" t="s">
        <v>89</v>
      </c>
      <c r="C19" s="253">
        <v>390722.10248</v>
      </c>
      <c r="D19" s="253">
        <f>ROUND(+C19*$E$9,5)</f>
        <v>1465989.3285</v>
      </c>
      <c r="E19" s="382"/>
      <c r="F19" s="238"/>
      <c r="G19" s="242"/>
      <c r="H19" s="242"/>
    </row>
    <row r="20" spans="2:8" ht="15">
      <c r="B20" s="21" t="s">
        <v>85</v>
      </c>
      <c r="C20" s="253">
        <v>520851.29288</v>
      </c>
      <c r="D20" s="253">
        <f>ROUND(+C20*$E$9,5)</f>
        <v>1954234.05089</v>
      </c>
      <c r="E20" s="382"/>
      <c r="F20" s="238"/>
      <c r="G20" s="242"/>
      <c r="H20" s="242"/>
    </row>
    <row r="21" spans="2:8" ht="15">
      <c r="B21" s="21" t="s">
        <v>213</v>
      </c>
      <c r="C21" s="253">
        <v>10632.61819</v>
      </c>
      <c r="D21" s="253">
        <f>ROUND(+C21*$E$9,5)</f>
        <v>39893.58345</v>
      </c>
      <c r="F21" s="238"/>
      <c r="G21" s="243"/>
      <c r="H21" s="238"/>
    </row>
    <row r="22" spans="2:8" ht="9.75" customHeight="1">
      <c r="B22" s="22"/>
      <c r="C22" s="254"/>
      <c r="D22" s="254"/>
      <c r="F22" s="238"/>
      <c r="G22" s="238"/>
      <c r="H22" s="238"/>
    </row>
    <row r="23" spans="2:8" ht="15" customHeight="1">
      <c r="B23" s="456" t="s">
        <v>14</v>
      </c>
      <c r="C23" s="460">
        <f>+C18+C15</f>
        <v>933480.89007</v>
      </c>
      <c r="D23" s="460">
        <f>+D18+D15</f>
        <v>3502420.29954</v>
      </c>
      <c r="F23" s="238"/>
      <c r="G23" s="243"/>
      <c r="H23" s="243"/>
    </row>
    <row r="24" spans="2:4" ht="15" customHeight="1">
      <c r="B24" s="457"/>
      <c r="C24" s="461"/>
      <c r="D24" s="461"/>
    </row>
    <row r="25" spans="2:4" ht="4.5" customHeight="1">
      <c r="B25" s="23"/>
      <c r="C25" s="24"/>
      <c r="D25" s="24"/>
    </row>
    <row r="26" spans="2:4" ht="15">
      <c r="B26" s="25" t="s">
        <v>135</v>
      </c>
      <c r="C26" s="378"/>
      <c r="D26" s="378"/>
    </row>
    <row r="27" spans="2:4" ht="15">
      <c r="B27" s="25" t="s">
        <v>136</v>
      </c>
      <c r="C27" s="26"/>
      <c r="D27" s="26"/>
    </row>
    <row r="28" spans="2:4" ht="15">
      <c r="B28" s="25" t="s">
        <v>137</v>
      </c>
      <c r="C28" s="378"/>
      <c r="D28" s="26"/>
    </row>
    <row r="29" spans="2:5" ht="15">
      <c r="B29" s="25" t="s">
        <v>214</v>
      </c>
      <c r="C29" s="365"/>
      <c r="D29" s="244"/>
      <c r="E29" s="245"/>
    </row>
    <row r="30" spans="3:5" ht="15">
      <c r="C30" s="365"/>
      <c r="D30" s="244"/>
      <c r="E30" s="245"/>
    </row>
    <row r="31" ht="15">
      <c r="C31" s="223"/>
    </row>
    <row r="32" spans="3:4" ht="15">
      <c r="C32" s="224"/>
      <c r="D32" s="225"/>
    </row>
    <row r="34" spans="2:4" ht="18.75">
      <c r="B34" s="44" t="s">
        <v>102</v>
      </c>
      <c r="C34" s="53"/>
      <c r="D34" s="53"/>
    </row>
    <row r="35" spans="2:4" ht="18">
      <c r="B35" s="128" t="s">
        <v>240</v>
      </c>
      <c r="C35" s="128"/>
      <c r="D35" s="128"/>
    </row>
    <row r="36" spans="2:4" ht="15" customHeight="1">
      <c r="B36" s="126" t="s">
        <v>66</v>
      </c>
      <c r="C36" s="126"/>
      <c r="D36" s="126"/>
    </row>
    <row r="37" spans="2:4" ht="16.5" customHeight="1">
      <c r="B37" s="126" t="s">
        <v>122</v>
      </c>
      <c r="C37" s="126"/>
      <c r="D37" s="126"/>
    </row>
    <row r="38" spans="2:4" ht="16.5" customHeight="1">
      <c r="B38" s="263" t="str">
        <f>+B9</f>
        <v>Al 30 de abril de 2024</v>
      </c>
      <c r="C38" s="263"/>
      <c r="D38" s="51"/>
    </row>
    <row r="39" spans="2:4" ht="8.25" customHeight="1">
      <c r="B39" s="17"/>
      <c r="C39" s="17"/>
      <c r="D39" s="17"/>
    </row>
    <row r="40" spans="2:4" ht="15" customHeight="1">
      <c r="B40" s="453" t="s">
        <v>125</v>
      </c>
      <c r="C40" s="465" t="s">
        <v>53</v>
      </c>
      <c r="D40" s="462" t="s">
        <v>130</v>
      </c>
    </row>
    <row r="41" spans="2:4" ht="13.5" customHeight="1">
      <c r="B41" s="454"/>
      <c r="C41" s="466"/>
      <c r="D41" s="463"/>
    </row>
    <row r="42" spans="2:4" ht="9" customHeight="1">
      <c r="B42" s="455"/>
      <c r="C42" s="467"/>
      <c r="D42" s="464"/>
    </row>
    <row r="43" spans="2:4" ht="9.75" customHeight="1">
      <c r="B43" s="19"/>
      <c r="C43" s="20"/>
      <c r="D43" s="27"/>
    </row>
    <row r="44" spans="2:4" ht="21" customHeight="1">
      <c r="B44" s="54" t="s">
        <v>65</v>
      </c>
      <c r="C44" s="255">
        <v>0</v>
      </c>
      <c r="D44" s="255">
        <v>0</v>
      </c>
    </row>
    <row r="45" spans="2:4" ht="15" customHeight="1">
      <c r="B45" s="55"/>
      <c r="C45" s="256"/>
      <c r="D45" s="256"/>
    </row>
    <row r="46" spans="2:4" ht="21" customHeight="1">
      <c r="B46" s="56" t="s">
        <v>74</v>
      </c>
      <c r="C46" s="255">
        <f>SUM(C47:C49)</f>
        <v>30432.92745</v>
      </c>
      <c r="D46" s="255">
        <f>SUM(D47:D49)</f>
        <v>114184.34379</v>
      </c>
    </row>
    <row r="47" spans="2:4" ht="15">
      <c r="B47" s="21" t="s">
        <v>89</v>
      </c>
      <c r="C47" s="257">
        <v>0</v>
      </c>
      <c r="D47" s="257">
        <f>ROUND(+C47*$E$9,5)</f>
        <v>0</v>
      </c>
    </row>
    <row r="48" spans="2:4" ht="15">
      <c r="B48" s="21" t="s">
        <v>85</v>
      </c>
      <c r="C48" s="257">
        <v>30432.92745</v>
      </c>
      <c r="D48" s="257">
        <f>ROUND(+C48*$E$9,5)</f>
        <v>114184.34379</v>
      </c>
    </row>
    <row r="49" spans="2:4" ht="15">
      <c r="B49" s="21" t="s">
        <v>215</v>
      </c>
      <c r="C49" s="380">
        <v>0</v>
      </c>
      <c r="D49" s="253">
        <f>ROUND(+C49*$E$9,5)</f>
        <v>0</v>
      </c>
    </row>
    <row r="50" spans="2:4" ht="9.75" customHeight="1">
      <c r="B50" s="22"/>
      <c r="C50" s="256"/>
      <c r="D50" s="256"/>
    </row>
    <row r="51" spans="2:4" ht="15" customHeight="1">
      <c r="B51" s="456" t="s">
        <v>14</v>
      </c>
      <c r="C51" s="458">
        <f>+C46+C44</f>
        <v>30432.92745</v>
      </c>
      <c r="D51" s="458">
        <f>+D46+D44</f>
        <v>114184.34379</v>
      </c>
    </row>
    <row r="52" spans="2:4" ht="15" customHeight="1">
      <c r="B52" s="457"/>
      <c r="C52" s="459"/>
      <c r="D52" s="459"/>
    </row>
    <row r="53" spans="2:4" ht="6" customHeight="1">
      <c r="B53" s="23"/>
      <c r="C53" s="24"/>
      <c r="D53" s="24"/>
    </row>
    <row r="54" spans="2:4" ht="15">
      <c r="B54" s="25" t="s">
        <v>216</v>
      </c>
      <c r="C54" s="365"/>
      <c r="D54" s="365"/>
    </row>
  </sheetData>
  <sheetProtection/>
  <mergeCells count="13"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2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6" customWidth="1"/>
    <col min="2" max="2" width="42.7109375" style="18" customWidth="1"/>
    <col min="3" max="4" width="19.7109375" style="58" customWidth="1"/>
    <col min="5" max="5" width="9.28125" style="118" customWidth="1"/>
    <col min="6" max="6" width="13.57421875" style="58" bestFit="1" customWidth="1"/>
    <col min="7" max="7" width="17.28125" style="58" customWidth="1"/>
    <col min="8" max="11" width="11.421875" style="58" customWidth="1"/>
    <col min="12" max="16" width="11.421875" style="18" customWidth="1"/>
    <col min="17" max="16384" width="11.421875" style="16" customWidth="1"/>
  </cols>
  <sheetData>
    <row r="1" ht="15"/>
    <row r="2" ht="15"/>
    <row r="3" ht="15"/>
    <row r="4" ht="15">
      <c r="B4" s="58"/>
    </row>
    <row r="5" spans="2:4" ht="18">
      <c r="B5" s="80" t="s">
        <v>18</v>
      </c>
      <c r="C5" s="80"/>
      <c r="D5" s="80"/>
    </row>
    <row r="6" spans="2:4" ht="18" customHeight="1">
      <c r="B6" s="128" t="s">
        <v>241</v>
      </c>
      <c r="C6" s="128"/>
      <c r="D6" s="128"/>
    </row>
    <row r="7" spans="2:4" ht="15.75" customHeight="1">
      <c r="B7" s="126" t="s">
        <v>79</v>
      </c>
      <c r="C7" s="126"/>
      <c r="D7" s="126"/>
    </row>
    <row r="8" spans="2:5" ht="15.75">
      <c r="B8" s="264" t="str">
        <f>+'DGRGL-C1'!B9</f>
        <v>Al 30 de abril de 2024</v>
      </c>
      <c r="C8" s="264"/>
      <c r="D8" s="215"/>
      <c r="E8" s="251">
        <f>+Portada!I34</f>
        <v>3.752</v>
      </c>
    </row>
    <row r="9" spans="2:4" ht="9" customHeight="1">
      <c r="B9" s="81"/>
      <c r="C9" s="81"/>
      <c r="D9" s="81"/>
    </row>
    <row r="10" spans="2:5" ht="15" customHeight="1">
      <c r="B10" s="470" t="s">
        <v>121</v>
      </c>
      <c r="C10" s="465" t="s">
        <v>53</v>
      </c>
      <c r="D10" s="462" t="s">
        <v>130</v>
      </c>
      <c r="E10" s="58"/>
    </row>
    <row r="11" spans="2:5" ht="13.5" customHeight="1">
      <c r="B11" s="471"/>
      <c r="C11" s="466"/>
      <c r="D11" s="463"/>
      <c r="E11" s="80"/>
    </row>
    <row r="12" spans="2:5" ht="9" customHeight="1">
      <c r="B12" s="472"/>
      <c r="C12" s="467"/>
      <c r="D12" s="464"/>
      <c r="E12" s="58"/>
    </row>
    <row r="13" spans="2:4" ht="9.75" customHeight="1">
      <c r="B13" s="120"/>
      <c r="C13" s="98"/>
      <c r="D13" s="181"/>
    </row>
    <row r="14" spans="2:4" ht="15.75" customHeight="1">
      <c r="B14" s="176" t="s">
        <v>50</v>
      </c>
      <c r="C14" s="259">
        <f>SUM(C15:C17)</f>
        <v>933480.89007</v>
      </c>
      <c r="D14" s="259">
        <f>SUM(D15:D17)</f>
        <v>3502420.29954</v>
      </c>
    </row>
    <row r="15" spans="2:5" ht="16.5" customHeight="1">
      <c r="B15" s="288" t="s">
        <v>86</v>
      </c>
      <c r="C15" s="260">
        <f>+'DGRGL-C1'!C19</f>
        <v>390722.10248</v>
      </c>
      <c r="D15" s="260">
        <f>ROUND(+C15*$E$8,5)</f>
        <v>1465989.3285</v>
      </c>
      <c r="E15" s="370"/>
    </row>
    <row r="16" spans="2:5" ht="16.5" customHeight="1">
      <c r="B16" s="288" t="s">
        <v>85</v>
      </c>
      <c r="C16" s="260">
        <f>+'DGRGL-C1'!C16+'DGRGL-C1'!C20</f>
        <v>532126.1694</v>
      </c>
      <c r="D16" s="260">
        <f>ROUND(+C16*$E$8,5)</f>
        <v>1996537.38759</v>
      </c>
      <c r="E16" s="370"/>
    </row>
    <row r="17" spans="2:5" ht="16.5" customHeight="1">
      <c r="B17" s="288" t="s">
        <v>215</v>
      </c>
      <c r="C17" s="380">
        <f>+'DGRGL-C1'!C21</f>
        <v>10632.61819</v>
      </c>
      <c r="D17" s="260">
        <f>ROUND(+C17*$E$8,5)</f>
        <v>39893.58345</v>
      </c>
      <c r="E17" s="370"/>
    </row>
    <row r="18" spans="2:5" ht="15" customHeight="1">
      <c r="B18" s="32"/>
      <c r="C18" s="260"/>
      <c r="D18" s="262"/>
      <c r="E18" s="246"/>
    </row>
    <row r="19" spans="2:5" ht="16.5" customHeight="1">
      <c r="B19" s="30" t="s">
        <v>49</v>
      </c>
      <c r="C19" s="259">
        <f>SUM(C20:C22)</f>
        <v>30432.92745</v>
      </c>
      <c r="D19" s="259">
        <f>SUM(D20:D22)</f>
        <v>114184.34379</v>
      </c>
      <c r="E19" s="246"/>
    </row>
    <row r="20" spans="2:5" ht="16.5" customHeight="1">
      <c r="B20" s="288" t="s">
        <v>86</v>
      </c>
      <c r="C20" s="286">
        <f>+'DGRGL-C1'!C47</f>
        <v>0</v>
      </c>
      <c r="D20" s="286">
        <f>ROUND(+C20*$E$8,5)</f>
        <v>0</v>
      </c>
      <c r="E20" s="246"/>
    </row>
    <row r="21" spans="2:5" ht="16.5" customHeight="1">
      <c r="B21" s="288" t="s">
        <v>85</v>
      </c>
      <c r="C21" s="260">
        <f>+'DGRGL-C1'!C48</f>
        <v>30432.92745</v>
      </c>
      <c r="D21" s="260">
        <f>ROUND(+C21*$E$8,5)</f>
        <v>114184.34379</v>
      </c>
      <c r="E21" s="246"/>
    </row>
    <row r="22" spans="2:5" ht="16.5" customHeight="1">
      <c r="B22" s="288" t="s">
        <v>215</v>
      </c>
      <c r="C22" s="286">
        <f>+'DGRGL-C1'!C49</f>
        <v>0</v>
      </c>
      <c r="D22" s="286">
        <f>ROUND(+C22*$E$8,5)</f>
        <v>0</v>
      </c>
      <c r="E22" s="246"/>
    </row>
    <row r="23" spans="2:5" ht="9.75" customHeight="1">
      <c r="B23" s="33"/>
      <c r="C23" s="261"/>
      <c r="D23" s="261"/>
      <c r="E23" s="246"/>
    </row>
    <row r="24" spans="2:4" ht="15" customHeight="1">
      <c r="B24" s="473" t="s">
        <v>57</v>
      </c>
      <c r="C24" s="468">
        <f>+C19+C14</f>
        <v>963913.8175199999</v>
      </c>
      <c r="D24" s="468">
        <f>+D19+D14</f>
        <v>3616604.64333</v>
      </c>
    </row>
    <row r="25" spans="2:4" ht="15" customHeight="1">
      <c r="B25" s="474"/>
      <c r="C25" s="469"/>
      <c r="D25" s="469"/>
    </row>
    <row r="26" spans="2:4" ht="6.75" customHeight="1">
      <c r="B26" s="34"/>
      <c r="C26" s="226"/>
      <c r="D26" s="226"/>
    </row>
    <row r="27" spans="2:4" ht="15">
      <c r="B27" s="25" t="s">
        <v>216</v>
      </c>
      <c r="C27" s="408"/>
      <c r="D27" s="371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52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8" customWidth="1"/>
    <col min="2" max="2" width="42.7109375" style="18" customWidth="1"/>
    <col min="3" max="4" width="19.7109375" style="18" customWidth="1"/>
    <col min="5" max="5" width="15.140625" style="18" customWidth="1"/>
    <col min="6" max="6" width="14.28125" style="18" bestFit="1" customWidth="1"/>
    <col min="7" max="7" width="15.8515625" style="18" customWidth="1"/>
    <col min="8" max="8" width="17.00390625" style="18" customWidth="1"/>
    <col min="9" max="9" width="21.140625" style="18" customWidth="1"/>
    <col min="10" max="15" width="11.421875" style="18" customWidth="1"/>
    <col min="16" max="16384" width="11.421875" style="16" customWidth="1"/>
  </cols>
  <sheetData>
    <row r="1" ht="15"/>
    <row r="2" ht="15"/>
    <row r="3" spans="2:5" ht="15">
      <c r="B3" s="58"/>
      <c r="C3" s="58"/>
      <c r="D3" s="58"/>
      <c r="E3" s="58"/>
    </row>
    <row r="4" spans="2:5" ht="15">
      <c r="B4" s="58"/>
      <c r="C4" s="58"/>
      <c r="D4" s="58"/>
      <c r="E4" s="58"/>
    </row>
    <row r="5" spans="2:5" ht="18">
      <c r="B5" s="80" t="s">
        <v>19</v>
      </c>
      <c r="C5" s="80"/>
      <c r="D5" s="80"/>
      <c r="E5" s="58"/>
    </row>
    <row r="6" spans="2:5" ht="18" customHeight="1">
      <c r="B6" s="128" t="s">
        <v>240</v>
      </c>
      <c r="C6" s="128"/>
      <c r="D6" s="128"/>
      <c r="E6" s="128"/>
    </row>
    <row r="7" spans="2:5" ht="15.75">
      <c r="B7" s="126" t="s">
        <v>64</v>
      </c>
      <c r="C7" s="126"/>
      <c r="D7" s="126"/>
      <c r="E7" s="58"/>
    </row>
    <row r="8" spans="2:5" ht="15.75">
      <c r="B8" s="269" t="s">
        <v>54</v>
      </c>
      <c r="C8" s="269"/>
      <c r="D8" s="269"/>
      <c r="E8" s="58"/>
    </row>
    <row r="9" spans="2:5" ht="15.75">
      <c r="B9" s="264" t="str">
        <f>+'DGRGL-C1'!B9</f>
        <v>Al 30 de abril de 2024</v>
      </c>
      <c r="C9" s="264"/>
      <c r="D9" s="216"/>
      <c r="E9" s="251">
        <f>+Portada!I34</f>
        <v>3.752</v>
      </c>
    </row>
    <row r="10" spans="2:5" ht="6.75" customHeight="1">
      <c r="B10" s="119"/>
      <c r="C10" s="119"/>
      <c r="D10" s="119"/>
      <c r="E10" s="58"/>
    </row>
    <row r="11" spans="2:5" ht="15" customHeight="1">
      <c r="B11" s="453" t="s">
        <v>244</v>
      </c>
      <c r="C11" s="465" t="s">
        <v>53</v>
      </c>
      <c r="D11" s="462" t="s">
        <v>130</v>
      </c>
      <c r="E11" s="58"/>
    </row>
    <row r="12" spans="2:5" ht="13.5" customHeight="1">
      <c r="B12" s="454"/>
      <c r="C12" s="466"/>
      <c r="D12" s="463"/>
      <c r="E12" s="80"/>
    </row>
    <row r="13" spans="2:5" ht="9" customHeight="1">
      <c r="B13" s="455"/>
      <c r="C13" s="467"/>
      <c r="D13" s="464"/>
      <c r="E13" s="58"/>
    </row>
    <row r="14" spans="2:5" ht="9.75" customHeight="1">
      <c r="B14" s="120"/>
      <c r="C14" s="98"/>
      <c r="D14" s="98"/>
      <c r="E14" s="58"/>
    </row>
    <row r="15" spans="2:5" ht="16.5">
      <c r="B15" s="176" t="s">
        <v>380</v>
      </c>
      <c r="C15" s="265">
        <f>+C16</f>
        <v>323837.67804</v>
      </c>
      <c r="D15" s="265">
        <f>+D16</f>
        <v>1215038.96800608</v>
      </c>
      <c r="E15" s="58"/>
    </row>
    <row r="16" spans="2:5" ht="15.75">
      <c r="B16" s="288" t="s">
        <v>85</v>
      </c>
      <c r="C16" s="266">
        <v>323837.67804</v>
      </c>
      <c r="D16" s="266">
        <f>+C16*$E$9</f>
        <v>1215038.96800608</v>
      </c>
      <c r="E16" s="58"/>
    </row>
    <row r="17" spans="2:5" ht="15" customHeight="1">
      <c r="B17" s="177"/>
      <c r="C17" s="266"/>
      <c r="D17" s="266"/>
      <c r="E17" s="58"/>
    </row>
    <row r="18" spans="2:5" ht="16.5">
      <c r="B18" s="176" t="s">
        <v>378</v>
      </c>
      <c r="C18" s="265">
        <f>SUM(C19:C21)</f>
        <v>609643.2120299999</v>
      </c>
      <c r="D18" s="265">
        <f>SUM(D19:D21)</f>
        <v>2287381.33153</v>
      </c>
      <c r="E18" s="104"/>
    </row>
    <row r="19" spans="2:4" ht="15.75">
      <c r="B19" s="288" t="s">
        <v>87</v>
      </c>
      <c r="C19" s="380">
        <f>+'DGRGL-C1'!C19</f>
        <v>390722.10248</v>
      </c>
      <c r="D19" s="266">
        <f>ROUND(+C19*$E$9,5)</f>
        <v>1465989.3285</v>
      </c>
    </row>
    <row r="20" spans="2:5" ht="15.75">
      <c r="B20" s="288" t="s">
        <v>85</v>
      </c>
      <c r="C20" s="260">
        <f>+'DGRGL-C1'!C16+'DGRGL-C1'!C20-C16</f>
        <v>208288.49135999999</v>
      </c>
      <c r="D20" s="266">
        <f>ROUND(+C20*$E$9,5)</f>
        <v>781498.41958</v>
      </c>
      <c r="E20" s="372"/>
    </row>
    <row r="21" spans="2:5" ht="15.75">
      <c r="B21" s="288" t="s">
        <v>213</v>
      </c>
      <c r="C21" s="380">
        <f>+'DGRGL-C1'!C21</f>
        <v>10632.61819</v>
      </c>
      <c r="D21" s="266">
        <f>ROUND(+C21*$E$9,5)</f>
        <v>39893.58345</v>
      </c>
      <c r="E21" s="223"/>
    </row>
    <row r="22" spans="2:4" ht="9.75" customHeight="1">
      <c r="B22" s="31"/>
      <c r="C22" s="267"/>
      <c r="D22" s="266"/>
    </row>
    <row r="23" spans="2:4" ht="15" customHeight="1">
      <c r="B23" s="473" t="s">
        <v>57</v>
      </c>
      <c r="C23" s="476">
        <f>+C18+C15</f>
        <v>933480.89007</v>
      </c>
      <c r="D23" s="476">
        <f>+D18+D15</f>
        <v>3502420.29953608</v>
      </c>
    </row>
    <row r="24" spans="2:4" ht="15" customHeight="1">
      <c r="B24" s="474"/>
      <c r="C24" s="477"/>
      <c r="D24" s="477"/>
    </row>
    <row r="25" spans="2:4" ht="4.5" customHeight="1">
      <c r="B25" s="478"/>
      <c r="C25" s="478"/>
      <c r="D25" s="478"/>
    </row>
    <row r="26" spans="2:4" ht="15" customHeight="1">
      <c r="B26" s="25" t="s">
        <v>381</v>
      </c>
      <c r="C26" s="383"/>
      <c r="D26" s="37"/>
    </row>
    <row r="27" spans="2:4" ht="15">
      <c r="B27" s="25" t="s">
        <v>379</v>
      </c>
      <c r="C27" s="104"/>
      <c r="D27" s="160"/>
    </row>
    <row r="28" spans="2:5" ht="15">
      <c r="B28" s="25" t="s">
        <v>138</v>
      </c>
      <c r="C28" s="331"/>
      <c r="D28" s="331"/>
      <c r="E28" s="332"/>
    </row>
    <row r="29" spans="2:5" ht="15">
      <c r="B29" s="25" t="s">
        <v>214</v>
      </c>
      <c r="C29" s="333"/>
      <c r="D29" s="333"/>
      <c r="E29" s="332"/>
    </row>
    <row r="30" spans="2:5" ht="15">
      <c r="B30" s="332"/>
      <c r="C30" s="332"/>
      <c r="D30" s="332"/>
      <c r="E30" s="332"/>
    </row>
    <row r="31" spans="2:5" ht="15">
      <c r="B31" s="332"/>
      <c r="C31" s="332"/>
      <c r="D31" s="332"/>
      <c r="E31" s="332"/>
    </row>
    <row r="32" spans="2:4" ht="18">
      <c r="B32" s="44" t="s">
        <v>103</v>
      </c>
      <c r="C32" s="44"/>
      <c r="D32" s="44"/>
    </row>
    <row r="33" spans="2:5" ht="18">
      <c r="B33" s="128" t="s">
        <v>240</v>
      </c>
      <c r="C33" s="128"/>
      <c r="D33" s="128"/>
      <c r="E33" s="128"/>
    </row>
    <row r="34" spans="2:4" ht="15.75">
      <c r="B34" s="126" t="s">
        <v>66</v>
      </c>
      <c r="C34" s="126"/>
      <c r="D34" s="126"/>
    </row>
    <row r="35" spans="2:4" ht="15" customHeight="1">
      <c r="B35" s="269" t="s">
        <v>54</v>
      </c>
      <c r="C35" s="269"/>
      <c r="D35" s="269"/>
    </row>
    <row r="36" spans="2:4" ht="15" customHeight="1">
      <c r="B36" s="264" t="str">
        <f>+B9</f>
        <v>Al 30 de abril de 2024</v>
      </c>
      <c r="C36" s="264"/>
      <c r="D36" s="52"/>
    </row>
    <row r="37" spans="2:4" ht="9" customHeight="1">
      <c r="B37" s="36"/>
      <c r="C37" s="36"/>
      <c r="D37" s="36"/>
    </row>
    <row r="38" spans="2:4" ht="15" customHeight="1">
      <c r="B38" s="453" t="s">
        <v>126</v>
      </c>
      <c r="C38" s="465" t="s">
        <v>53</v>
      </c>
      <c r="D38" s="462" t="s">
        <v>130</v>
      </c>
    </row>
    <row r="39" spans="2:5" ht="13.5" customHeight="1">
      <c r="B39" s="454"/>
      <c r="C39" s="466"/>
      <c r="D39" s="463"/>
      <c r="E39" s="44"/>
    </row>
    <row r="40" spans="2:4" ht="9" customHeight="1">
      <c r="B40" s="455"/>
      <c r="C40" s="467"/>
      <c r="D40" s="464"/>
    </row>
    <row r="41" spans="2:4" ht="9.75" customHeight="1">
      <c r="B41" s="28"/>
      <c r="C41" s="29"/>
      <c r="D41" s="29"/>
    </row>
    <row r="42" spans="2:4" ht="16.5">
      <c r="B42" s="30" t="s">
        <v>67</v>
      </c>
      <c r="C42" s="265">
        <v>0</v>
      </c>
      <c r="D42" s="265">
        <v>0</v>
      </c>
    </row>
    <row r="43" spans="2:5" ht="15" customHeight="1">
      <c r="B43" s="31"/>
      <c r="C43" s="266"/>
      <c r="D43" s="266"/>
      <c r="E43" s="79"/>
    </row>
    <row r="44" spans="2:5" ht="16.5">
      <c r="B44" s="30" t="s">
        <v>68</v>
      </c>
      <c r="C44" s="265">
        <f>SUM(C45:C47)</f>
        <v>30432.92745</v>
      </c>
      <c r="D44" s="265">
        <f>SUM(D45:D47)</f>
        <v>114184.34379</v>
      </c>
      <c r="E44" s="79"/>
    </row>
    <row r="45" spans="2:5" ht="15.75">
      <c r="B45" s="288" t="s">
        <v>88</v>
      </c>
      <c r="C45" s="380">
        <v>0</v>
      </c>
      <c r="D45" s="266">
        <f>ROUND(+C45*$E$9,5)</f>
        <v>0</v>
      </c>
      <c r="E45" s="38"/>
    </row>
    <row r="46" spans="2:5" ht="15.75">
      <c r="B46" s="288" t="s">
        <v>85</v>
      </c>
      <c r="C46" s="260">
        <f>+'DGRGL-C1'!C48</f>
        <v>30432.92745</v>
      </c>
      <c r="D46" s="266">
        <f>ROUND(+C46*$E$9,5)</f>
        <v>114184.34379</v>
      </c>
      <c r="E46" s="38"/>
    </row>
    <row r="47" spans="2:5" ht="15.75">
      <c r="B47" s="288" t="s">
        <v>215</v>
      </c>
      <c r="C47" s="380">
        <v>0</v>
      </c>
      <c r="D47" s="266">
        <f>ROUND(+C47*$E$9,5)</f>
        <v>0</v>
      </c>
      <c r="E47" s="204"/>
    </row>
    <row r="48" spans="2:5" ht="9.75" customHeight="1">
      <c r="B48" s="35"/>
      <c r="C48" s="268"/>
      <c r="D48" s="268"/>
      <c r="E48" s="79"/>
    </row>
    <row r="49" spans="2:4" ht="15" customHeight="1">
      <c r="B49" s="473" t="s">
        <v>57</v>
      </c>
      <c r="C49" s="476">
        <f>+C44+C42</f>
        <v>30432.92745</v>
      </c>
      <c r="D49" s="476">
        <f>+D44+D42</f>
        <v>114184.34379</v>
      </c>
    </row>
    <row r="50" spans="2:4" ht="15" customHeight="1">
      <c r="B50" s="474"/>
      <c r="C50" s="477"/>
      <c r="D50" s="477"/>
    </row>
    <row r="51" spans="2:4" ht="5.25" customHeight="1">
      <c r="B51" s="475"/>
      <c r="C51" s="475"/>
      <c r="D51" s="475"/>
    </row>
    <row r="52" spans="2:4" ht="15">
      <c r="B52" s="25" t="s">
        <v>216</v>
      </c>
      <c r="C52" s="375"/>
      <c r="D52" s="334"/>
    </row>
  </sheetData>
  <sheetProtection/>
  <mergeCells count="14">
    <mergeCell ref="B11:B13"/>
    <mergeCell ref="D38:D40"/>
    <mergeCell ref="B23:B24"/>
    <mergeCell ref="C38:C40"/>
    <mergeCell ref="D23:D24"/>
    <mergeCell ref="C11:C13"/>
    <mergeCell ref="B25:D25"/>
    <mergeCell ref="D11:D13"/>
    <mergeCell ref="B51:D51"/>
    <mergeCell ref="B49:B50"/>
    <mergeCell ref="C49:C50"/>
    <mergeCell ref="D49:D50"/>
    <mergeCell ref="B38:B40"/>
    <mergeCell ref="C23:C24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E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8" customWidth="1"/>
    <col min="2" max="2" width="55.8515625" style="18" customWidth="1"/>
    <col min="3" max="4" width="19.7109375" style="18" customWidth="1"/>
    <col min="5" max="5" width="11.421875" style="18" customWidth="1"/>
    <col min="6" max="6" width="13.140625" style="18" bestFit="1" customWidth="1"/>
    <col min="7" max="7" width="14.421875" style="18" bestFit="1" customWidth="1"/>
    <col min="8" max="8" width="26.140625" style="18" customWidth="1"/>
    <col min="9" max="9" width="14.28125" style="18" customWidth="1"/>
    <col min="10" max="16" width="11.421875" style="18" customWidth="1"/>
    <col min="17" max="16384" width="11.421875" style="16" customWidth="1"/>
  </cols>
  <sheetData>
    <row r="1" ht="15"/>
    <row r="2" ht="15"/>
    <row r="3" ht="15"/>
    <row r="4" spans="2:5" ht="15">
      <c r="B4" s="58"/>
      <c r="C4" s="58"/>
      <c r="D4" s="58"/>
      <c r="E4" s="58"/>
    </row>
    <row r="5" spans="2:5" ht="18">
      <c r="B5" s="80" t="s">
        <v>20</v>
      </c>
      <c r="C5" s="81"/>
      <c r="D5" s="81"/>
      <c r="E5" s="58"/>
    </row>
    <row r="6" spans="2:5" ht="18" customHeight="1">
      <c r="B6" s="128" t="s">
        <v>240</v>
      </c>
      <c r="C6" s="128"/>
      <c r="D6" s="128"/>
      <c r="E6" s="128"/>
    </row>
    <row r="7" spans="2:5" ht="15.75">
      <c r="B7" s="126" t="s">
        <v>64</v>
      </c>
      <c r="C7" s="126"/>
      <c r="D7" s="126"/>
      <c r="E7" s="58"/>
    </row>
    <row r="8" spans="2:5" ht="15.75" customHeight="1">
      <c r="B8" s="269" t="s">
        <v>100</v>
      </c>
      <c r="C8" s="269"/>
      <c r="D8" s="269"/>
      <c r="E8" s="58"/>
    </row>
    <row r="9" spans="2:5" ht="15.75">
      <c r="B9" s="264" t="str">
        <f>+'DGRGL-C1'!B9</f>
        <v>Al 30 de abril de 2024</v>
      </c>
      <c r="C9" s="264"/>
      <c r="D9" s="216"/>
      <c r="E9" s="251">
        <f>+Portada!I34</f>
        <v>3.752</v>
      </c>
    </row>
    <row r="10" spans="2:5" ht="8.25" customHeight="1">
      <c r="B10" s="81"/>
      <c r="C10" s="81"/>
      <c r="D10" s="81"/>
      <c r="E10" s="58"/>
    </row>
    <row r="11" spans="2:5" ht="15" customHeight="1">
      <c r="B11" s="389" t="s">
        <v>245</v>
      </c>
      <c r="C11" s="465" t="s">
        <v>53</v>
      </c>
      <c r="D11" s="462" t="s">
        <v>130</v>
      </c>
      <c r="E11" s="58"/>
    </row>
    <row r="12" spans="2:5" ht="13.5" customHeight="1">
      <c r="B12" s="471" t="s">
        <v>32</v>
      </c>
      <c r="C12" s="466"/>
      <c r="D12" s="463"/>
      <c r="E12" s="80"/>
    </row>
    <row r="13" spans="2:5" ht="9" customHeight="1">
      <c r="B13" s="472"/>
      <c r="C13" s="467"/>
      <c r="D13" s="464"/>
      <c r="E13" s="58"/>
    </row>
    <row r="14" spans="2:5" ht="9.75" customHeight="1">
      <c r="B14" s="82"/>
      <c r="C14" s="217"/>
      <c r="D14" s="219"/>
      <c r="E14" s="58"/>
    </row>
    <row r="15" spans="2:5" ht="16.5">
      <c r="B15" s="121" t="s">
        <v>116</v>
      </c>
      <c r="C15" s="270">
        <f>SUM(C16:C18)</f>
        <v>752399.5138</v>
      </c>
      <c r="D15" s="270">
        <f>SUM(D16:D18)</f>
        <v>2823002.97578</v>
      </c>
      <c r="E15" s="58"/>
    </row>
    <row r="16" spans="2:5" ht="15.75">
      <c r="B16" s="274" t="s">
        <v>88</v>
      </c>
      <c r="C16" s="397">
        <v>220915.60273</v>
      </c>
      <c r="D16" s="266">
        <f>ROUND(+C16*$E$9,5)</f>
        <v>828875.34144</v>
      </c>
      <c r="E16" s="371"/>
    </row>
    <row r="17" spans="2:5" ht="15.75">
      <c r="B17" s="274" t="s">
        <v>85</v>
      </c>
      <c r="C17" s="397">
        <v>520851.29288</v>
      </c>
      <c r="D17" s="266">
        <f>ROUND(+C17*$E$9,5)</f>
        <v>1954234.05089</v>
      </c>
      <c r="E17" s="371"/>
    </row>
    <row r="18" spans="2:5" ht="15.75">
      <c r="B18" s="274" t="s">
        <v>219</v>
      </c>
      <c r="C18" s="397">
        <v>10632.61819</v>
      </c>
      <c r="D18" s="266">
        <f>ROUND(+C18*$E$9,5)</f>
        <v>39893.58345</v>
      </c>
      <c r="E18" s="371"/>
    </row>
    <row r="19" spans="2:4" ht="15" customHeight="1">
      <c r="B19" s="41"/>
      <c r="C19" s="266"/>
      <c r="D19" s="272"/>
    </row>
    <row r="20" spans="2:4" ht="16.5">
      <c r="B20" s="42" t="s">
        <v>56</v>
      </c>
      <c r="C20" s="270">
        <f>+C21+C22</f>
        <v>181081.37626999998</v>
      </c>
      <c r="D20" s="270">
        <f>+D21+D22</f>
        <v>679417.32376</v>
      </c>
    </row>
    <row r="21" spans="2:4" ht="15.75">
      <c r="B21" s="274" t="s">
        <v>220</v>
      </c>
      <c r="C21" s="266">
        <f>+C25+C30+C35</f>
        <v>169806.49975</v>
      </c>
      <c r="D21" s="266">
        <f>+D25+D30+D35</f>
        <v>637113.9870600001</v>
      </c>
    </row>
    <row r="22" spans="2:4" ht="15.75">
      <c r="B22" s="274" t="s">
        <v>85</v>
      </c>
      <c r="C22" s="266">
        <f>+C26+C31+C36</f>
        <v>11274.87652</v>
      </c>
      <c r="D22" s="266">
        <f>+D26+D31+D36</f>
        <v>42303.3367</v>
      </c>
    </row>
    <row r="23" spans="2:4" ht="9.75" customHeight="1">
      <c r="B23" s="41"/>
      <c r="C23" s="268"/>
      <c r="D23" s="272"/>
    </row>
    <row r="24" spans="2:4" ht="15.75">
      <c r="B24" s="275" t="s">
        <v>35</v>
      </c>
      <c r="C24" s="277">
        <f>SUM(C25:C27)</f>
        <v>0</v>
      </c>
      <c r="D24" s="277">
        <f>SUM(D25:D27)</f>
        <v>0</v>
      </c>
    </row>
    <row r="25" spans="2:4" ht="15">
      <c r="B25" s="39" t="s">
        <v>89</v>
      </c>
      <c r="C25" s="398">
        <v>0</v>
      </c>
      <c r="D25" s="276">
        <f>ROUND(+C25*$E$9,5)</f>
        <v>0</v>
      </c>
    </row>
    <row r="26" spans="2:4" ht="15">
      <c r="B26" s="39" t="s">
        <v>85</v>
      </c>
      <c r="C26" s="268">
        <v>0</v>
      </c>
      <c r="D26" s="276">
        <f>ROUND(+C26*$E$9,5)</f>
        <v>0</v>
      </c>
    </row>
    <row r="27" spans="2:4" ht="15">
      <c r="B27" s="39" t="s">
        <v>217</v>
      </c>
      <c r="C27" s="268">
        <v>0</v>
      </c>
      <c r="D27" s="276">
        <f>ROUND(+C27*$E$9,5)</f>
        <v>0</v>
      </c>
    </row>
    <row r="28" spans="2:4" ht="9.75" customHeight="1">
      <c r="B28" s="41"/>
      <c r="C28" s="268"/>
      <c r="D28" s="272"/>
    </row>
    <row r="29" spans="2:4" ht="15.75">
      <c r="B29" s="275" t="s">
        <v>169</v>
      </c>
      <c r="C29" s="277">
        <f>SUM(C30:C32)</f>
        <v>171607.81311999998</v>
      </c>
      <c r="D29" s="277">
        <f>SUM(D30:D32)</f>
        <v>643872.51482</v>
      </c>
    </row>
    <row r="30" spans="2:4" ht="15">
      <c r="B30" s="39" t="s">
        <v>88</v>
      </c>
      <c r="C30" s="398">
        <v>160332.9366</v>
      </c>
      <c r="D30" s="276">
        <f>ROUND(+C30*$E$9,5)</f>
        <v>601569.17812</v>
      </c>
    </row>
    <row r="31" spans="2:4" ht="15">
      <c r="B31" s="39" t="s">
        <v>85</v>
      </c>
      <c r="C31" s="276">
        <v>11274.87652</v>
      </c>
      <c r="D31" s="276">
        <f>ROUND(+C31*$E$9,5)</f>
        <v>42303.3367</v>
      </c>
    </row>
    <row r="32" spans="2:4" ht="15">
      <c r="B32" s="39" t="s">
        <v>217</v>
      </c>
      <c r="C32" s="268">
        <v>0</v>
      </c>
      <c r="D32" s="276">
        <f>ROUND(+C32*$E$9,5)</f>
        <v>0</v>
      </c>
    </row>
    <row r="33" spans="2:4" ht="9.75" customHeight="1">
      <c r="B33" s="41"/>
      <c r="C33" s="268"/>
      <c r="D33" s="272"/>
    </row>
    <row r="34" spans="2:4" ht="15.75">
      <c r="B34" s="363" t="s">
        <v>170</v>
      </c>
      <c r="C34" s="277">
        <f>SUM(C35:C37)</f>
        <v>9473.56315</v>
      </c>
      <c r="D34" s="277">
        <f>SUM(D35:D37)</f>
        <v>35544.80894</v>
      </c>
    </row>
    <row r="35" spans="2:4" ht="15">
      <c r="B35" s="39" t="s">
        <v>89</v>
      </c>
      <c r="C35" s="398">
        <v>9473.56315</v>
      </c>
      <c r="D35" s="276">
        <f>ROUND(+C35*$E$9,5)</f>
        <v>35544.80894</v>
      </c>
    </row>
    <row r="36" spans="2:4" ht="15">
      <c r="B36" s="39" t="s">
        <v>90</v>
      </c>
      <c r="C36" s="268">
        <v>0</v>
      </c>
      <c r="D36" s="276">
        <f>ROUND(+C36*$E$9,5)</f>
        <v>0</v>
      </c>
    </row>
    <row r="37" spans="2:4" ht="15">
      <c r="B37" s="39" t="s">
        <v>217</v>
      </c>
      <c r="C37" s="268">
        <v>0</v>
      </c>
      <c r="D37" s="276">
        <f>ROUND(+C37*$E$9,5)</f>
        <v>0</v>
      </c>
    </row>
    <row r="38" spans="2:4" ht="9.75" customHeight="1">
      <c r="B38" s="40"/>
      <c r="C38" s="271"/>
      <c r="D38" s="273"/>
    </row>
    <row r="39" spans="2:4" ht="15" customHeight="1">
      <c r="B39" s="473" t="s">
        <v>14</v>
      </c>
      <c r="C39" s="476">
        <f>+C20+C15</f>
        <v>933480.89007</v>
      </c>
      <c r="D39" s="476">
        <f>+D20+D15</f>
        <v>3502420.29954</v>
      </c>
    </row>
    <row r="40" spans="2:4" ht="15" customHeight="1">
      <c r="B40" s="474"/>
      <c r="C40" s="477"/>
      <c r="D40" s="477"/>
    </row>
    <row r="41" ht="4.5" customHeight="1"/>
    <row r="42" spans="2:4" ht="15">
      <c r="B42" s="384" t="s">
        <v>139</v>
      </c>
      <c r="C42" s="417"/>
      <c r="D42" s="407"/>
    </row>
    <row r="43" spans="2:4" ht="15">
      <c r="B43" s="25" t="s">
        <v>218</v>
      </c>
      <c r="C43" s="406"/>
      <c r="D43" s="25"/>
    </row>
    <row r="44" spans="2:4" ht="15">
      <c r="B44" s="481" t="s">
        <v>221</v>
      </c>
      <c r="C44" s="481"/>
      <c r="D44" s="481"/>
    </row>
    <row r="45" spans="2:5" ht="15">
      <c r="B45" s="335"/>
      <c r="C45" s="336"/>
      <c r="D45" s="337"/>
      <c r="E45" s="332"/>
    </row>
    <row r="46" spans="2:5" ht="15">
      <c r="B46" s="335"/>
      <c r="C46" s="337"/>
      <c r="D46" s="337"/>
      <c r="E46" s="332"/>
    </row>
    <row r="47" spans="2:5" ht="15">
      <c r="B47" s="332"/>
      <c r="C47" s="332"/>
      <c r="D47" s="332"/>
      <c r="E47" s="332"/>
    </row>
    <row r="48" spans="2:4" ht="18">
      <c r="B48" s="44" t="s">
        <v>104</v>
      </c>
      <c r="C48" s="45"/>
      <c r="D48" s="45"/>
    </row>
    <row r="49" spans="2:5" ht="18">
      <c r="B49" s="128" t="s">
        <v>240</v>
      </c>
      <c r="C49" s="128"/>
      <c r="D49" s="128"/>
      <c r="E49" s="128"/>
    </row>
    <row r="50" spans="2:5" ht="15" customHeight="1">
      <c r="B50" s="126" t="s">
        <v>66</v>
      </c>
      <c r="C50" s="126"/>
      <c r="D50" s="126"/>
      <c r="E50" s="57"/>
    </row>
    <row r="51" spans="2:5" ht="15" customHeight="1">
      <c r="B51" s="269" t="s">
        <v>100</v>
      </c>
      <c r="C51" s="269"/>
      <c r="D51" s="269"/>
      <c r="E51" s="57"/>
    </row>
    <row r="52" spans="2:4" ht="15" customHeight="1">
      <c r="B52" s="264" t="str">
        <f>+B9</f>
        <v>Al 30 de abril de 2024</v>
      </c>
      <c r="C52" s="264"/>
      <c r="D52" s="52"/>
    </row>
    <row r="53" spans="2:4" ht="6.75" customHeight="1">
      <c r="B53" s="45"/>
      <c r="C53" s="45"/>
      <c r="D53" s="45"/>
    </row>
    <row r="54" spans="2:4" ht="15" customHeight="1">
      <c r="B54" s="364" t="s">
        <v>171</v>
      </c>
      <c r="C54" s="465" t="s">
        <v>53</v>
      </c>
      <c r="D54" s="462" t="s">
        <v>130</v>
      </c>
    </row>
    <row r="55" spans="2:5" ht="13.5" customHeight="1">
      <c r="B55" s="479" t="s">
        <v>172</v>
      </c>
      <c r="C55" s="466"/>
      <c r="D55" s="463"/>
      <c r="E55" s="44"/>
    </row>
    <row r="56" spans="2:4" ht="9" customHeight="1">
      <c r="B56" s="480"/>
      <c r="C56" s="467"/>
      <c r="D56" s="464"/>
    </row>
    <row r="57" spans="2:4" ht="9.75" customHeight="1">
      <c r="B57" s="46"/>
      <c r="C57" s="47"/>
      <c r="D57" s="48"/>
    </row>
    <row r="58" spans="2:4" ht="19.5" customHeight="1">
      <c r="B58" s="42" t="s">
        <v>55</v>
      </c>
      <c r="C58" s="270">
        <f>SUM(C59:C61)</f>
        <v>30432.92745</v>
      </c>
      <c r="D58" s="270">
        <f>SUM(D59:D61)</f>
        <v>114184.34379239999</v>
      </c>
    </row>
    <row r="59" spans="2:4" ht="15.75">
      <c r="B59" s="43" t="s">
        <v>87</v>
      </c>
      <c r="C59" s="266">
        <v>0</v>
      </c>
      <c r="D59" s="266">
        <f>+C59*$E$9</f>
        <v>0</v>
      </c>
    </row>
    <row r="60" spans="2:4" ht="15.75">
      <c r="B60" s="43" t="s">
        <v>85</v>
      </c>
      <c r="C60" s="266">
        <v>30432.92745</v>
      </c>
      <c r="D60" s="266">
        <f>+C60*$E$9</f>
        <v>114184.34379239999</v>
      </c>
    </row>
    <row r="61" spans="2:4" ht="15.75">
      <c r="B61" s="43" t="s">
        <v>215</v>
      </c>
      <c r="C61" s="266">
        <v>0</v>
      </c>
      <c r="D61" s="266">
        <f>+C61*$E$9</f>
        <v>0</v>
      </c>
    </row>
    <row r="62" spans="2:4" ht="15" customHeight="1">
      <c r="B62" s="41"/>
      <c r="C62" s="266"/>
      <c r="D62" s="272"/>
    </row>
    <row r="63" spans="2:4" ht="16.5">
      <c r="B63" s="42" t="s">
        <v>56</v>
      </c>
      <c r="C63" s="270">
        <v>0</v>
      </c>
      <c r="D63" s="270">
        <v>0</v>
      </c>
    </row>
    <row r="64" spans="2:4" ht="9.75" customHeight="1">
      <c r="B64" s="40"/>
      <c r="C64" s="271"/>
      <c r="D64" s="273"/>
    </row>
    <row r="65" spans="2:4" ht="15" customHeight="1">
      <c r="B65" s="473" t="s">
        <v>14</v>
      </c>
      <c r="C65" s="476">
        <f>+C63+C58</f>
        <v>30432.92745</v>
      </c>
      <c r="D65" s="476">
        <f>+D63+D58</f>
        <v>114184.34379239999</v>
      </c>
    </row>
    <row r="66" spans="2:4" ht="15" customHeight="1">
      <c r="B66" s="474"/>
      <c r="C66" s="477"/>
      <c r="D66" s="477"/>
    </row>
    <row r="67" ht="5.25" customHeight="1"/>
    <row r="68" spans="2:4" ht="15">
      <c r="B68" s="25" t="s">
        <v>216</v>
      </c>
      <c r="C68" s="338"/>
      <c r="D68" s="334"/>
    </row>
  </sheetData>
  <sheetProtection/>
  <mergeCells count="13">
    <mergeCell ref="C11:C13"/>
    <mergeCell ref="B44:D44"/>
    <mergeCell ref="B39:B40"/>
    <mergeCell ref="C39:C40"/>
    <mergeCell ref="D39:D40"/>
    <mergeCell ref="D11:D13"/>
    <mergeCell ref="B12:B13"/>
    <mergeCell ref="B65:B66"/>
    <mergeCell ref="C65:C66"/>
    <mergeCell ref="D65:D66"/>
    <mergeCell ref="C54:C56"/>
    <mergeCell ref="D54:D56"/>
    <mergeCell ref="B55:B56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E120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58" customWidth="1"/>
    <col min="2" max="2" width="55.7109375" style="58" customWidth="1"/>
    <col min="3" max="4" width="19.7109375" style="58" customWidth="1"/>
    <col min="5" max="7" width="11.421875" style="58" customWidth="1"/>
    <col min="8" max="16384" width="11.421875" style="68" customWidth="1"/>
  </cols>
  <sheetData>
    <row r="1" ht="15"/>
    <row r="2" ht="15"/>
    <row r="3" ht="15"/>
    <row r="5" spans="2:3" ht="18">
      <c r="B5" s="80" t="s">
        <v>21</v>
      </c>
      <c r="C5" s="80"/>
    </row>
    <row r="6" spans="2:4" ht="18" customHeight="1">
      <c r="B6" s="128" t="s">
        <v>240</v>
      </c>
      <c r="C6" s="128"/>
      <c r="D6" s="128"/>
    </row>
    <row r="7" spans="2:4" ht="15.75">
      <c r="B7" s="126" t="s">
        <v>64</v>
      </c>
      <c r="C7" s="126"/>
      <c r="D7" s="126"/>
    </row>
    <row r="8" spans="2:4" ht="15.75" customHeight="1">
      <c r="B8" s="126" t="s">
        <v>84</v>
      </c>
      <c r="C8" s="126"/>
      <c r="D8" s="126"/>
    </row>
    <row r="9" spans="2:5" ht="15.75">
      <c r="B9" s="264" t="str">
        <f>+'DGRGL-C1'!B9</f>
        <v>Al 30 de abril de 2024</v>
      </c>
      <c r="C9" s="264"/>
      <c r="D9" s="215"/>
      <c r="E9" s="251">
        <f>+Portada!I34</f>
        <v>3.752</v>
      </c>
    </row>
    <row r="10" spans="2:4" ht="7.5" customHeight="1">
      <c r="B10" s="81"/>
      <c r="C10" s="81"/>
      <c r="D10" s="81"/>
    </row>
    <row r="11" spans="2:4" ht="15" customHeight="1">
      <c r="B11" s="453" t="s">
        <v>101</v>
      </c>
      <c r="C11" s="465" t="s">
        <v>53</v>
      </c>
      <c r="D11" s="462" t="s">
        <v>130</v>
      </c>
    </row>
    <row r="12" spans="2:4" ht="13.5" customHeight="1">
      <c r="B12" s="454"/>
      <c r="C12" s="466"/>
      <c r="D12" s="463"/>
    </row>
    <row r="13" spans="2:4" ht="9" customHeight="1">
      <c r="B13" s="455"/>
      <c r="C13" s="467"/>
      <c r="D13" s="464"/>
    </row>
    <row r="14" spans="2:4" ht="9" customHeight="1">
      <c r="B14" s="82"/>
      <c r="C14" s="82"/>
      <c r="D14" s="98"/>
    </row>
    <row r="15" spans="2:5" ht="15.75">
      <c r="B15" s="317" t="s">
        <v>80</v>
      </c>
      <c r="C15" s="284">
        <f>+C17</f>
        <v>390722.10248</v>
      </c>
      <c r="D15" s="284">
        <f>+D17</f>
        <v>1465989.3284999998</v>
      </c>
      <c r="E15" s="371"/>
    </row>
    <row r="16" spans="2:4" ht="9.75" customHeight="1">
      <c r="B16" s="67"/>
      <c r="C16" s="284"/>
      <c r="D16" s="284"/>
    </row>
    <row r="17" spans="2:4" ht="15.75">
      <c r="B17" s="316" t="s">
        <v>92</v>
      </c>
      <c r="C17" s="284">
        <f>+C19</f>
        <v>390722.10248</v>
      </c>
      <c r="D17" s="284">
        <f>+D19</f>
        <v>1465989.3284999998</v>
      </c>
    </row>
    <row r="18" spans="2:4" ht="7.5" customHeight="1">
      <c r="B18" s="318"/>
      <c r="C18" s="282"/>
      <c r="D18" s="282"/>
    </row>
    <row r="19" spans="2:4" ht="15">
      <c r="B19" s="290" t="s">
        <v>140</v>
      </c>
      <c r="C19" s="282">
        <f>SUM(C20:C21)</f>
        <v>390722.10248</v>
      </c>
      <c r="D19" s="282">
        <f>SUM(D20:D21)</f>
        <v>1465989.3284999998</v>
      </c>
    </row>
    <row r="20" spans="2:4" ht="15">
      <c r="B20" s="289" t="s">
        <v>142</v>
      </c>
      <c r="C20" s="283">
        <v>258979.92229</v>
      </c>
      <c r="D20" s="283">
        <f>ROUND(+C20*$E$9,5)</f>
        <v>971692.66843</v>
      </c>
    </row>
    <row r="21" spans="2:4" ht="15">
      <c r="B21" s="289" t="s">
        <v>141</v>
      </c>
      <c r="C21" s="283">
        <v>131742.18019</v>
      </c>
      <c r="D21" s="283">
        <f>ROUND(+C21*$E$9,5)</f>
        <v>494296.66007</v>
      </c>
    </row>
    <row r="22" spans="2:4" ht="12" customHeight="1">
      <c r="B22" s="61"/>
      <c r="C22" s="279"/>
      <c r="D22" s="282"/>
    </row>
    <row r="23" spans="2:4" ht="15.75">
      <c r="B23" s="317" t="s">
        <v>81</v>
      </c>
      <c r="C23" s="278">
        <f>+C25+C31</f>
        <v>532126.1694000001</v>
      </c>
      <c r="D23" s="284">
        <f>+D25+D31</f>
        <v>1996537.38758</v>
      </c>
    </row>
    <row r="24" spans="2:4" ht="9.75" customHeight="1">
      <c r="B24" s="317"/>
      <c r="C24" s="278"/>
      <c r="D24" s="284"/>
    </row>
    <row r="25" spans="2:4" ht="15.75">
      <c r="B25" s="316" t="s">
        <v>91</v>
      </c>
      <c r="C25" s="278">
        <f>+C27</f>
        <v>11274.87652</v>
      </c>
      <c r="D25" s="284">
        <f>+D27</f>
        <v>42303.3367</v>
      </c>
    </row>
    <row r="26" spans="2:4" ht="7.5" customHeight="1">
      <c r="B26" s="319"/>
      <c r="C26" s="278"/>
      <c r="D26" s="284"/>
    </row>
    <row r="27" spans="2:4" ht="15">
      <c r="B27" s="290" t="s">
        <v>51</v>
      </c>
      <c r="C27" s="279">
        <f>SUM(C28:C29)</f>
        <v>11274.87652</v>
      </c>
      <c r="D27" s="285">
        <f>SUM(D28:D29)</f>
        <v>42303.3367</v>
      </c>
    </row>
    <row r="28" spans="2:4" ht="15">
      <c r="B28" s="289" t="s">
        <v>144</v>
      </c>
      <c r="C28" s="283">
        <v>11274.87652</v>
      </c>
      <c r="D28" s="283">
        <f>ROUND(+C28*$E$9,5)</f>
        <v>42303.3367</v>
      </c>
    </row>
    <row r="29" spans="2:4" ht="15" hidden="1">
      <c r="B29" s="289" t="s">
        <v>145</v>
      </c>
      <c r="C29" s="283">
        <v>0</v>
      </c>
      <c r="D29" s="283">
        <f>ROUND(+C29*$E$9,5)</f>
        <v>0</v>
      </c>
    </row>
    <row r="30" spans="2:4" ht="7.5" customHeight="1">
      <c r="B30" s="318"/>
      <c r="C30" s="279"/>
      <c r="D30" s="282"/>
    </row>
    <row r="31" spans="2:4" ht="15.75">
      <c r="B31" s="316" t="s">
        <v>92</v>
      </c>
      <c r="C31" s="278">
        <f>+C33+C35+C42+C46</f>
        <v>520851.2928800001</v>
      </c>
      <c r="D31" s="284">
        <f>+D33+D35+D42+D46</f>
        <v>1954234.05088</v>
      </c>
    </row>
    <row r="32" spans="2:4" ht="7.5" customHeight="1">
      <c r="B32" s="321"/>
      <c r="C32" s="281"/>
      <c r="D32" s="286"/>
    </row>
    <row r="33" spans="2:4" ht="15">
      <c r="B33" s="290" t="s">
        <v>385</v>
      </c>
      <c r="C33" s="279">
        <v>321162.04691000003</v>
      </c>
      <c r="D33" s="282">
        <f aca="true" t="shared" si="0" ref="D33:D40">ROUND(+C33*$E$9,5)</f>
        <v>1205000.00001</v>
      </c>
    </row>
    <row r="34" spans="2:4" ht="7.5" customHeight="1">
      <c r="B34" s="321"/>
      <c r="C34" s="281"/>
      <c r="D34" s="283"/>
    </row>
    <row r="35" spans="2:4" ht="15">
      <c r="B35" s="290" t="s">
        <v>143</v>
      </c>
      <c r="C35" s="279">
        <f>SUM(C36:C40)</f>
        <v>564.4169300000001</v>
      </c>
      <c r="D35" s="282">
        <f>SUM(D36:D40)</f>
        <v>2117.69232</v>
      </c>
    </row>
    <row r="36" spans="2:4" ht="15" hidden="1">
      <c r="B36" s="289" t="s">
        <v>246</v>
      </c>
      <c r="C36" s="418">
        <v>0</v>
      </c>
      <c r="D36" s="283">
        <f t="shared" si="0"/>
        <v>0</v>
      </c>
    </row>
    <row r="37" spans="2:4" ht="15" hidden="1">
      <c r="B37" s="289" t="s">
        <v>209</v>
      </c>
      <c r="C37" s="418">
        <v>0</v>
      </c>
      <c r="D37" s="283">
        <f t="shared" si="0"/>
        <v>0</v>
      </c>
    </row>
    <row r="38" spans="2:4" ht="15">
      <c r="B38" s="289" t="s">
        <v>152</v>
      </c>
      <c r="C38" s="283">
        <v>534.80694</v>
      </c>
      <c r="D38" s="283">
        <f t="shared" si="0"/>
        <v>2006.59564</v>
      </c>
    </row>
    <row r="39" spans="2:4" ht="15" hidden="1">
      <c r="B39" s="289" t="s">
        <v>253</v>
      </c>
      <c r="C39" s="283">
        <v>0</v>
      </c>
      <c r="D39" s="283">
        <f t="shared" si="0"/>
        <v>0</v>
      </c>
    </row>
    <row r="40" spans="2:4" ht="15">
      <c r="B40" s="289" t="s">
        <v>197</v>
      </c>
      <c r="C40" s="283">
        <v>29.60999</v>
      </c>
      <c r="D40" s="283">
        <f t="shared" si="0"/>
        <v>111.09668</v>
      </c>
    </row>
    <row r="41" spans="2:4" ht="7.5" customHeight="1">
      <c r="B41" s="61"/>
      <c r="C41" s="282"/>
      <c r="D41" s="282"/>
    </row>
    <row r="42" spans="2:4" ht="15">
      <c r="B42" s="290" t="s">
        <v>146</v>
      </c>
      <c r="C42" s="282">
        <f>SUM(C43:C44)</f>
        <v>14122.55358</v>
      </c>
      <c r="D42" s="282">
        <f>SUM(D43:D44)</f>
        <v>52987.82103</v>
      </c>
    </row>
    <row r="43" spans="2:4" ht="15">
      <c r="B43" s="289" t="s">
        <v>147</v>
      </c>
      <c r="C43" s="392">
        <v>14122.55358</v>
      </c>
      <c r="D43" s="283">
        <f>ROUND(+C43*$E$9,5)</f>
        <v>52987.82103</v>
      </c>
    </row>
    <row r="44" spans="2:4" ht="15" hidden="1">
      <c r="B44" s="289" t="s">
        <v>148</v>
      </c>
      <c r="C44" s="283">
        <v>0</v>
      </c>
      <c r="D44" s="283">
        <f>ROUND(+C44*$E$9,5)</f>
        <v>0</v>
      </c>
    </row>
    <row r="45" spans="2:4" ht="7.5" customHeight="1">
      <c r="B45" s="322"/>
      <c r="C45" s="283"/>
      <c r="D45" s="283"/>
    </row>
    <row r="46" spans="2:4" ht="15">
      <c r="B46" s="290" t="s">
        <v>382</v>
      </c>
      <c r="C46" s="282">
        <f>SUM(C47:C48)</f>
        <v>185002.27546</v>
      </c>
      <c r="D46" s="282">
        <f>SUM(D47:D48)</f>
        <v>694128.5375199999</v>
      </c>
    </row>
    <row r="47" spans="2:4" ht="15">
      <c r="B47" s="289" t="s">
        <v>149</v>
      </c>
      <c r="C47" s="283">
        <v>154271.19325</v>
      </c>
      <c r="D47" s="283">
        <f>ROUND(+C47*$E$9,5)</f>
        <v>578825.51707</v>
      </c>
    </row>
    <row r="48" spans="2:4" ht="15">
      <c r="B48" s="289" t="s">
        <v>192</v>
      </c>
      <c r="C48" s="283">
        <v>30731.08221</v>
      </c>
      <c r="D48" s="283">
        <f>ROUND(+C48*$E$9,5)</f>
        <v>115303.02045</v>
      </c>
    </row>
    <row r="49" spans="2:4" ht="15" hidden="1">
      <c r="B49" s="64"/>
      <c r="C49" s="282"/>
      <c r="D49" s="282"/>
    </row>
    <row r="50" spans="2:4" ht="15" hidden="1">
      <c r="B50" s="61" t="s">
        <v>82</v>
      </c>
      <c r="C50" s="282">
        <f>+C52+C51</f>
        <v>0</v>
      </c>
      <c r="D50" s="282">
        <f>+D52+D51</f>
        <v>0</v>
      </c>
    </row>
    <row r="51" spans="2:4" ht="15" hidden="1">
      <c r="B51" s="64" t="s">
        <v>83</v>
      </c>
      <c r="C51" s="283">
        <v>0</v>
      </c>
      <c r="D51" s="283">
        <f>+C51*$E$9</f>
        <v>0</v>
      </c>
    </row>
    <row r="52" spans="2:4" ht="15" hidden="1">
      <c r="B52" s="64" t="s">
        <v>117</v>
      </c>
      <c r="C52" s="283"/>
      <c r="D52" s="283">
        <f>+C52*$E$9</f>
        <v>0</v>
      </c>
    </row>
    <row r="53" spans="2:4" ht="12" customHeight="1">
      <c r="B53" s="64"/>
      <c r="C53" s="283"/>
      <c r="D53" s="283"/>
    </row>
    <row r="54" spans="2:4" ht="15.75">
      <c r="B54" s="317" t="s">
        <v>222</v>
      </c>
      <c r="C54" s="278">
        <f>+C56</f>
        <v>10632.61819</v>
      </c>
      <c r="D54" s="284">
        <f>+D56</f>
        <v>39893.58345</v>
      </c>
    </row>
    <row r="55" spans="2:4" ht="9.75" customHeight="1">
      <c r="B55" s="317"/>
      <c r="C55" s="278"/>
      <c r="D55" s="284"/>
    </row>
    <row r="56" spans="2:4" ht="15.75">
      <c r="B56" s="316" t="s">
        <v>92</v>
      </c>
      <c r="C56" s="278">
        <f>+C58</f>
        <v>10632.61819</v>
      </c>
      <c r="D56" s="284">
        <f>+D58</f>
        <v>39893.58345</v>
      </c>
    </row>
    <row r="57" spans="2:4" ht="7.5" customHeight="1">
      <c r="B57" s="319"/>
      <c r="C57" s="278"/>
      <c r="D57" s="284"/>
    </row>
    <row r="58" spans="2:4" ht="15">
      <c r="B58" s="290" t="s">
        <v>223</v>
      </c>
      <c r="C58" s="279">
        <f>SUM(C59:C59)</f>
        <v>10632.61819</v>
      </c>
      <c r="D58" s="285">
        <f>SUM(D59:D59)</f>
        <v>39893.58345</v>
      </c>
    </row>
    <row r="59" spans="2:4" ht="15">
      <c r="B59" s="289" t="s">
        <v>149</v>
      </c>
      <c r="C59" s="392">
        <v>10632.61819</v>
      </c>
      <c r="D59" s="283">
        <f>ROUND(+C59*$E$9,5)</f>
        <v>39893.58345</v>
      </c>
    </row>
    <row r="60" spans="2:4" ht="8.25" customHeight="1">
      <c r="B60" s="322"/>
      <c r="C60" s="283"/>
      <c r="D60" s="287"/>
    </row>
    <row r="61" spans="2:4" ht="15" customHeight="1">
      <c r="B61" s="484" t="s">
        <v>16</v>
      </c>
      <c r="C61" s="476">
        <f>+C23+C15+C54</f>
        <v>933480.8900700001</v>
      </c>
      <c r="D61" s="476">
        <f>+D23+D15+D54</f>
        <v>3502420.2995299995</v>
      </c>
    </row>
    <row r="62" spans="2:4" ht="15" customHeight="1">
      <c r="B62" s="485"/>
      <c r="C62" s="477"/>
      <c r="D62" s="477"/>
    </row>
    <row r="63" spans="2:4" ht="7.5" customHeight="1">
      <c r="B63" s="99"/>
      <c r="C63" s="83"/>
      <c r="D63" s="83"/>
    </row>
    <row r="64" spans="2:4" s="101" customFormat="1" ht="15" customHeight="1">
      <c r="B64" s="100" t="s">
        <v>111</v>
      </c>
      <c r="C64" s="412"/>
      <c r="D64" s="84"/>
    </row>
    <row r="65" spans="2:4" ht="6.75" customHeight="1">
      <c r="B65" s="102"/>
      <c r="C65" s="182"/>
      <c r="D65" s="182"/>
    </row>
    <row r="66" spans="2:4" ht="15" customHeight="1">
      <c r="B66" s="85" t="s">
        <v>150</v>
      </c>
      <c r="C66" s="165"/>
      <c r="D66" s="165"/>
    </row>
    <row r="67" spans="2:4" ht="15" customHeight="1">
      <c r="B67" s="85" t="s">
        <v>151</v>
      </c>
      <c r="C67" s="85"/>
      <c r="D67" s="85"/>
    </row>
    <row r="68" spans="2:4" ht="15" customHeight="1">
      <c r="B68" s="5" t="s">
        <v>384</v>
      </c>
      <c r="C68" s="85"/>
      <c r="D68" s="85"/>
    </row>
    <row r="69" spans="2:4" ht="15" customHeight="1">
      <c r="B69" s="85" t="s">
        <v>383</v>
      </c>
      <c r="C69" s="157"/>
      <c r="D69" s="157"/>
    </row>
    <row r="70" spans="3:4" ht="15" customHeight="1">
      <c r="C70" s="85"/>
      <c r="D70" s="85"/>
    </row>
    <row r="71" spans="2:4" ht="15">
      <c r="B71" s="339"/>
      <c r="C71" s="339"/>
      <c r="D71" s="339"/>
    </row>
    <row r="72" spans="2:4" ht="15">
      <c r="B72" s="339"/>
      <c r="C72" s="340"/>
      <c r="D72" s="339"/>
    </row>
    <row r="73" spans="2:4" ht="15">
      <c r="B73" s="341"/>
      <c r="C73" s="342"/>
      <c r="D73" s="342"/>
    </row>
    <row r="74" spans="2:4" ht="15">
      <c r="B74" s="339"/>
      <c r="C74" s="342"/>
      <c r="D74" s="342"/>
    </row>
    <row r="75" spans="2:4" ht="18">
      <c r="B75" s="80" t="s">
        <v>105</v>
      </c>
      <c r="C75" s="80"/>
      <c r="D75" s="80"/>
    </row>
    <row r="76" spans="2:4" ht="18">
      <c r="B76" s="128" t="s">
        <v>240</v>
      </c>
      <c r="C76" s="128"/>
      <c r="D76" s="128"/>
    </row>
    <row r="77" spans="2:4" ht="15" customHeight="1">
      <c r="B77" s="126" t="s">
        <v>66</v>
      </c>
      <c r="C77" s="126"/>
      <c r="D77" s="126"/>
    </row>
    <row r="78" spans="2:4" ht="15.75" customHeight="1">
      <c r="B78" s="126" t="s">
        <v>84</v>
      </c>
      <c r="C78" s="126"/>
      <c r="D78" s="126"/>
    </row>
    <row r="79" spans="2:4" ht="15.75" customHeight="1">
      <c r="B79" s="264" t="str">
        <f>+B9</f>
        <v>Al 30 de abril de 2024</v>
      </c>
      <c r="C79" s="264"/>
      <c r="D79" s="215"/>
    </row>
    <row r="80" spans="2:4" ht="7.5" customHeight="1">
      <c r="B80" s="81"/>
      <c r="C80" s="81"/>
      <c r="D80" s="81"/>
    </row>
    <row r="81" spans="2:4" s="68" customFormat="1" ht="15" customHeight="1">
      <c r="B81" s="453" t="s">
        <v>101</v>
      </c>
      <c r="C81" s="465" t="s">
        <v>53</v>
      </c>
      <c r="D81" s="462" t="s">
        <v>130</v>
      </c>
    </row>
    <row r="82" spans="2:4" s="68" customFormat="1" ht="13.5" customHeight="1">
      <c r="B82" s="454"/>
      <c r="C82" s="466"/>
      <c r="D82" s="463"/>
    </row>
    <row r="83" spans="2:4" s="68" customFormat="1" ht="9" customHeight="1">
      <c r="B83" s="455"/>
      <c r="C83" s="467"/>
      <c r="D83" s="464"/>
    </row>
    <row r="84" spans="2:4" s="68" customFormat="1" ht="11.25" customHeight="1" hidden="1">
      <c r="B84" s="82"/>
      <c r="C84" s="82"/>
      <c r="D84" s="98"/>
    </row>
    <row r="85" spans="2:4" s="68" customFormat="1" ht="18" customHeight="1" hidden="1">
      <c r="B85" s="67" t="s">
        <v>69</v>
      </c>
      <c r="C85" s="59">
        <f>+C86</f>
        <v>0</v>
      </c>
      <c r="D85" s="60">
        <f>+D86</f>
        <v>0</v>
      </c>
    </row>
    <row r="86" spans="2:4" s="68" customFormat="1" ht="15.75" customHeight="1" hidden="1">
      <c r="B86" s="61" t="s">
        <v>70</v>
      </c>
      <c r="C86" s="62">
        <f>+C87</f>
        <v>0</v>
      </c>
      <c r="D86" s="63">
        <f>+D87</f>
        <v>0</v>
      </c>
    </row>
    <row r="87" spans="2:4" s="68" customFormat="1" ht="16.5" customHeight="1" hidden="1">
      <c r="B87" s="64" t="s">
        <v>58</v>
      </c>
      <c r="C87" s="65">
        <v>0</v>
      </c>
      <c r="D87" s="66">
        <f>+C87/$E$9</f>
        <v>0</v>
      </c>
    </row>
    <row r="88" spans="2:4" s="68" customFormat="1" ht="9.75" customHeight="1">
      <c r="B88" s="103"/>
      <c r="C88" s="62"/>
      <c r="D88" s="63"/>
    </row>
    <row r="89" spans="2:4" s="68" customFormat="1" ht="18" customHeight="1">
      <c r="B89" s="317" t="s">
        <v>80</v>
      </c>
      <c r="C89" s="278">
        <f>+C91</f>
        <v>0</v>
      </c>
      <c r="D89" s="284">
        <f>+D91</f>
        <v>0</v>
      </c>
    </row>
    <row r="90" spans="2:4" s="68" customFormat="1" ht="9.75" customHeight="1">
      <c r="B90" s="317"/>
      <c r="C90" s="278"/>
      <c r="D90" s="284"/>
    </row>
    <row r="91" spans="2:4" s="68" customFormat="1" ht="18" customHeight="1">
      <c r="B91" s="323" t="s">
        <v>92</v>
      </c>
      <c r="C91" s="278">
        <v>0</v>
      </c>
      <c r="D91" s="284">
        <v>0</v>
      </c>
    </row>
    <row r="92" spans="2:4" s="68" customFormat="1" ht="12" customHeight="1">
      <c r="B92" s="318"/>
      <c r="C92" s="278"/>
      <c r="D92" s="284"/>
    </row>
    <row r="93" spans="2:4" s="68" customFormat="1" ht="18" customHeight="1">
      <c r="B93" s="317" t="s">
        <v>81</v>
      </c>
      <c r="C93" s="278">
        <f>+C95</f>
        <v>30432.927450000003</v>
      </c>
      <c r="D93" s="284">
        <f>+D95</f>
        <v>114184.34379</v>
      </c>
    </row>
    <row r="94" spans="2:4" s="68" customFormat="1" ht="9.75" customHeight="1">
      <c r="B94" s="317"/>
      <c r="C94" s="278"/>
      <c r="D94" s="284"/>
    </row>
    <row r="95" spans="2:4" s="68" customFormat="1" ht="18" customHeight="1">
      <c r="B95" s="323" t="s">
        <v>92</v>
      </c>
      <c r="C95" s="278">
        <f>+C97+C102+C105</f>
        <v>30432.927450000003</v>
      </c>
      <c r="D95" s="284">
        <f>+D97+D102+D105</f>
        <v>114184.34379</v>
      </c>
    </row>
    <row r="96" spans="2:4" s="68" customFormat="1" ht="7.5" customHeight="1">
      <c r="B96" s="318"/>
      <c r="C96" s="278"/>
      <c r="D96" s="284"/>
    </row>
    <row r="97" spans="2:4" s="68" customFormat="1" ht="15.75" customHeight="1">
      <c r="B97" s="290" t="s">
        <v>143</v>
      </c>
      <c r="C97" s="279">
        <f>SUM(C98:C100)</f>
        <v>10153.913190000001</v>
      </c>
      <c r="D97" s="282">
        <f>SUM(D98:D100)</f>
        <v>38097.48229</v>
      </c>
    </row>
    <row r="98" spans="2:4" s="68" customFormat="1" ht="15.75" customHeight="1">
      <c r="B98" s="289" t="s">
        <v>152</v>
      </c>
      <c r="C98" s="283">
        <v>148.06053</v>
      </c>
      <c r="D98" s="283">
        <f>ROUND(+C98*$E$9,5)</f>
        <v>555.52311</v>
      </c>
    </row>
    <row r="99" spans="2:4" s="68" customFormat="1" ht="15.75" customHeight="1">
      <c r="B99" s="289" t="s">
        <v>248</v>
      </c>
      <c r="C99" s="283">
        <v>0.90568</v>
      </c>
      <c r="D99" s="283">
        <f>ROUND(+C99*$E$9,5)</f>
        <v>3.39811</v>
      </c>
    </row>
    <row r="100" spans="2:4" s="68" customFormat="1" ht="15.75" customHeight="1">
      <c r="B100" s="289" t="s">
        <v>252</v>
      </c>
      <c r="C100" s="280">
        <v>10004.94698</v>
      </c>
      <c r="D100" s="283">
        <f>ROUND(+C100*$E$9,5)</f>
        <v>37538.56107</v>
      </c>
    </row>
    <row r="101" spans="2:4" s="68" customFormat="1" ht="7.5" customHeight="1">
      <c r="B101" s="322"/>
      <c r="C101" s="280"/>
      <c r="D101" s="283"/>
    </row>
    <row r="102" spans="2:4" s="68" customFormat="1" ht="15" customHeight="1">
      <c r="B102" s="290" t="s">
        <v>146</v>
      </c>
      <c r="C102" s="279">
        <f>SUM(C103:C103)</f>
        <v>20279.01426</v>
      </c>
      <c r="D102" s="282">
        <f>SUM(D103:D103)</f>
        <v>76086.8615</v>
      </c>
    </row>
    <row r="103" spans="2:4" s="68" customFormat="1" ht="15.75" customHeight="1">
      <c r="B103" s="289" t="s">
        <v>147</v>
      </c>
      <c r="C103" s="283">
        <v>20279.01426</v>
      </c>
      <c r="D103" s="283">
        <f>ROUND(+C103*$E$9,5)</f>
        <v>76086.8615</v>
      </c>
    </row>
    <row r="104" spans="2:4" s="68" customFormat="1" ht="7.5" customHeight="1">
      <c r="B104" s="322"/>
      <c r="C104" s="280"/>
      <c r="D104" s="282"/>
    </row>
    <row r="105" spans="2:4" s="68" customFormat="1" ht="15.75" customHeight="1">
      <c r="B105" s="290" t="s">
        <v>153</v>
      </c>
      <c r="C105" s="279">
        <v>0</v>
      </c>
      <c r="D105" s="282">
        <v>0</v>
      </c>
    </row>
    <row r="106" spans="2:4" s="68" customFormat="1" ht="15.75" customHeight="1" hidden="1">
      <c r="B106" s="64" t="s">
        <v>124</v>
      </c>
      <c r="C106" s="280">
        <v>0</v>
      </c>
      <c r="D106" s="283">
        <f>+C106*$E$9</f>
        <v>0</v>
      </c>
    </row>
    <row r="107" spans="2:4" s="68" customFormat="1" ht="12" customHeight="1">
      <c r="B107" s="64"/>
      <c r="C107" s="280"/>
      <c r="D107" s="283"/>
    </row>
    <row r="108" spans="2:4" s="68" customFormat="1" ht="15.75" customHeight="1">
      <c r="B108" s="317" t="s">
        <v>222</v>
      </c>
      <c r="C108" s="278">
        <f>+C110</f>
        <v>0</v>
      </c>
      <c r="D108" s="284">
        <f>+D110</f>
        <v>0</v>
      </c>
    </row>
    <row r="109" spans="2:4" s="68" customFormat="1" ht="9.75" customHeight="1">
      <c r="B109" s="64"/>
      <c r="C109" s="280"/>
      <c r="D109" s="283"/>
    </row>
    <row r="110" spans="2:4" s="68" customFormat="1" ht="15.75" customHeight="1">
      <c r="B110" s="316" t="s">
        <v>92</v>
      </c>
      <c r="C110" s="278">
        <f>+C112</f>
        <v>0</v>
      </c>
      <c r="D110" s="284">
        <f>+D112</f>
        <v>0</v>
      </c>
    </row>
    <row r="111" spans="2:4" s="68" customFormat="1" ht="9.75" customHeight="1" hidden="1">
      <c r="B111" s="319"/>
      <c r="C111" s="278"/>
      <c r="D111" s="284"/>
    </row>
    <row r="112" spans="2:4" s="68" customFormat="1" ht="15.75" customHeight="1" hidden="1">
      <c r="B112" s="320" t="s">
        <v>223</v>
      </c>
      <c r="C112" s="279">
        <v>0</v>
      </c>
      <c r="D112" s="285">
        <v>0</v>
      </c>
    </row>
    <row r="113" spans="2:4" s="68" customFormat="1" ht="9.75" customHeight="1">
      <c r="B113" s="64"/>
      <c r="C113" s="280"/>
      <c r="D113" s="282"/>
    </row>
    <row r="114" spans="2:4" s="68" customFormat="1" ht="15" customHeight="1">
      <c r="B114" s="482" t="s">
        <v>16</v>
      </c>
      <c r="C114" s="476">
        <f>+C93+C89+C108</f>
        <v>30432.927450000003</v>
      </c>
      <c r="D114" s="476">
        <f>+D93+D89+D108</f>
        <v>114184.34379</v>
      </c>
    </row>
    <row r="115" spans="2:4" s="68" customFormat="1" ht="15" customHeight="1">
      <c r="B115" s="483"/>
      <c r="C115" s="477"/>
      <c r="D115" s="477"/>
    </row>
    <row r="116" spans="2:4" s="68" customFormat="1" ht="7.5" customHeight="1">
      <c r="B116" s="99"/>
      <c r="C116" s="83"/>
      <c r="D116" s="83"/>
    </row>
    <row r="117" spans="2:4" s="68" customFormat="1" ht="17.25" customHeight="1">
      <c r="B117" s="100" t="s">
        <v>111</v>
      </c>
      <c r="C117" s="393"/>
      <c r="D117" s="166"/>
    </row>
    <row r="118" spans="2:4" s="68" customFormat="1" ht="6.75" customHeight="1">
      <c r="B118" s="100"/>
      <c r="C118" s="83"/>
      <c r="D118" s="83"/>
    </row>
    <row r="119" spans="2:4" s="68" customFormat="1" ht="15">
      <c r="B119" s="432"/>
      <c r="C119" s="432"/>
      <c r="D119" s="432"/>
    </row>
    <row r="120" spans="2:4" s="68" customFormat="1" ht="15">
      <c r="B120" s="432"/>
      <c r="C120" s="432"/>
      <c r="D120" s="432"/>
    </row>
  </sheetData>
  <sheetProtection/>
  <mergeCells count="14">
    <mergeCell ref="D114:D115"/>
    <mergeCell ref="B61:B62"/>
    <mergeCell ref="C61:C62"/>
    <mergeCell ref="D61:D62"/>
    <mergeCell ref="B119:D119"/>
    <mergeCell ref="B120:D120"/>
    <mergeCell ref="B11:B13"/>
    <mergeCell ref="C11:C13"/>
    <mergeCell ref="D11:D13"/>
    <mergeCell ref="B114:B115"/>
    <mergeCell ref="B81:B83"/>
    <mergeCell ref="C81:C83"/>
    <mergeCell ref="D81:D83"/>
    <mergeCell ref="C114:C115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2024-06-09T16:20:04Z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