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 localSheetId="11">#REF!</definedName>
    <definedName name="A_impresión_IM">#REF!</definedName>
    <definedName name="_xlnm.Print_Area" localSheetId="4">'DEP-C1'!$A$1:$BI$49</definedName>
    <definedName name="_xlnm.Print_Area" localSheetId="5">'DEP-C2'!$B$1:$D$47</definedName>
    <definedName name="_xlnm.Print_Area" localSheetId="6">'DEP-C3'!$B$5:$D$62</definedName>
    <definedName name="_xlnm.Print_Area" localSheetId="7">'DEP-C4'!$B$1:$D$90</definedName>
    <definedName name="_xlnm.Print_Area" localSheetId="8">'DEP-C5'!$B$1:$D$51</definedName>
    <definedName name="_xlnm.Print_Area" localSheetId="9">'DEP-C6'!$B$1:$E$78</definedName>
    <definedName name="_xlnm.Print_Area" localSheetId="10">'DEP-C7'!$B$1:$E$91</definedName>
    <definedName name="_xlnm.Print_Area" localSheetId="11">'DEP-C8'!$B$1:$D$127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<sst xmlns="http://schemas.openxmlformats.org/spreadsheetml/2006/main" count="640" uniqueCount="262">
  <si>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</si>
  <si>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</si>
  <si>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</si>
  <si>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</si>
  <si>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</si>
  <si>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</si>
  <si>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</si>
  <si>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</si>
  <si>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</si>
  <si>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</si>
  <si>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</si>
  <si>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</si>
  <si>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</si>
  <si>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</si>
  <si>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</si>
  <si>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</si>
  <si>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</si>
  <si>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</si>
  <si>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</si>
  <si>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</si>
  <si>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</si>
  <si>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</si>
  <si>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</si>
  <si>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</si>
  <si>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</si>
  <si>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</si>
  <si>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</si>
  <si>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</si>
  <si>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</si>
  <si>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</si>
  <si>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</si>
  <si>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</si>
  <si>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</si>
  <si>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</si>
  <si>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</si>
  <si>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</si>
  <si>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</si>
  <si>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</si>
  <si>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</si>
  <si>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</si>
  <si>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</si>
  <si>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</si>
  <si>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</si>
  <si>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</si>
  <si>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</si>
  <si>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</si>
  <si>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</si>
  <si>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</si>
  <si>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</si>
  <si>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</si>
  <si>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</si>
  <si>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</si>
  <si>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</si>
  <si>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</si>
  <si>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</si>
  <si>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</si>
  <si>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</si>
  <si>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</si>
  <si>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</si>
  <si>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</si>
  <si>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</si>
  <si>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</si>
  <si>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</si>
  <si>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</si>
  <si>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</si>
  <si>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</si>
  <si>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</si>
  <si>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</si>
  <si>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</si>
  <si>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</si>
  <si>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</si>
  <si>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</si>
  <si>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</si>
  <si>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</si>
  <si>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</si>
  <si>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</si>
  <si>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</si>
  <si>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</si>
  <si>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</si>
  <si>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</si>
  <si>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</si>
  <si>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</si>
  <si>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</si>
  <si>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</si>
  <si>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</si>
  <si>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</si>
  <si>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</si>
  <si>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</si>
  <si>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</si>
  <si>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</si>
  <si>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</si>
  <si>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</si>
  <si>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</si>
  <si>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</si>
  <si>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</si>
  <si>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</si>
  <si>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</si>
  <si>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</si>
  <si>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</si>
  <si>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</si>
  <si>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</si>
  <si>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</si>
  <si>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</si>
  <si>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</si>
  <si>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</si>
  <si>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</si>
  <si>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</si>
  <si>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</si>
  <si>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</si>
  <si>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</si>
  <si>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</si>
  <si>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</si>
  <si>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</si>
  <si>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</si>
  <si>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</si>
  <si>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</si>
  <si>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</si>
  <si>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</si>
  <si>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</si>
  <si>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</si>
  <si>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</si>
  <si>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</si>
  <si>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</si>
  <si>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</si>
  <si>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</si>
  <si>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</si>
  <si>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</si>
  <si>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</si>
  <si>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</si>
  <si>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</si>
  <si>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</si>
  <si>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</si>
  <si>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</si>
  <si>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</si>
  <si>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</si>
  <si>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</si>
  <si>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</si>
  <si>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</si>
  <si>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</si>
  <si>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</si>
  <si>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</si>
  <si>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</si>
  <si>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</si>
  <si>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</si>
  <si>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</si>
  <si>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</si>
  <si>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</si>
  <si>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</si>
  <si>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</si>
  <si>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</si>
  <si>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</si>
  <si>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</si>
  <si>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</si>
  <si>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</si>
  <si>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</si>
  <si>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</si>
  <si>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</si>
  <si>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</si>
  <si>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</si>
  <si>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</si>
  <si>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</si>
  <si>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</si>
  <si>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</si>
  <si>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</si>
  <si>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</si>
  <si>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</si>
  <si>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</si>
  <si>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</si>
  <si>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</si>
  <si>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</si>
  <si>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</si>
  <si>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</si>
  <si>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</si>
  <si>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</si>
  <si>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</si>
  <si>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</si>
  <si>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</si>
  <si>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</si>
  <si>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</si>
  <si>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</si>
  <si>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</si>
  <si>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</si>
  <si>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</si>
  <si>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</si>
  <si>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</si>
  <si>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</si>
  <si>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</si>
  <si>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</si>
  <si>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</si>
  <si>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</si>
  <si>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</si>
  <si>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</si>
  <si>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</si>
  <si>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</si>
  <si>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</si>
  <si>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</si>
  <si>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</si>
  <si>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</si>
  <si>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</si>
  <si>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</si>
  <si>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</si>
  <si>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</si>
  <si>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</si>
  <si>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</si>
  <si>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</si>
  <si>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</si>
  <si>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</si>
  <si>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</si>
  <si>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</si>
  <si>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</si>
  <si>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</si>
  <si>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</si>
  <si>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</si>
  <si>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</si>
  <si>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</si>
  <si>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</si>
  <si>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</si>
  <si>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</si>
  <si>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</si>
  <si>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</si>
  <si>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</si>
  <si>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</si>
  <si>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</si>
  <si>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</si>
  <si>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</si>
  <si>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</si>
  <si>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</si>
  <si>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</si>
  <si>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</si>
  <si>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</si>
  <si>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</si>
  <si>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</si>
  <si>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</si>
  <si>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</si>
  <si>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</si>
  <si>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Empresa de Servicio Público de Electricidad Electro Norte Medio S.A.</t>
  </si>
  <si>
    <t>Empresa Regional de Servicio Público de Electricidad Electronoroeste S.A.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</si>
  <si>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</si>
  <si>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</si>
  <si>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</si>
  <si>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Sep</t>
  </si>
  <si>
    <t>Empresa Nacional de la Coca</t>
  </si>
  <si>
    <t xml:space="preserve"> 1/  Incluye: Bonos PETROPERU por US$ 3 000,0 millones.</t>
  </si>
  <si>
    <t>Banco Latinoamericno de Comercio Exterior</t>
  </si>
  <si>
    <t>Banco Latinoamericano de Comercio Exterior S.A.</t>
  </si>
  <si>
    <t>Servicios Postales del Perú</t>
  </si>
  <si>
    <t>JPMORGAN CHASE BANK</t>
  </si>
  <si>
    <t>SERVICIOS POSTALES DEL PERÚ S.A</t>
  </si>
  <si>
    <t>Servicios Postales del Peru S.A.</t>
  </si>
  <si>
    <t>Servicios Industriales de la Marina</t>
  </si>
  <si>
    <t>Empresa Electricidad del Perú</t>
  </si>
  <si>
    <t>Empresa de Servicio Público de Electricidad del Sur</t>
  </si>
  <si>
    <t>Empresa Regional de Servicio Público de Electricidad del Sur S.A.</t>
  </si>
  <si>
    <t>Citibank</t>
  </si>
  <si>
    <t>Citibank N.A.</t>
  </si>
  <si>
    <t>Empresa Regional de Servicio Público de Electricidad del Norte Medio</t>
  </si>
  <si>
    <t>AL 31 DE AGOSTO 2023</t>
  </si>
  <si>
    <t>Al 31 de agosto de 2023</t>
  </si>
  <si>
    <t xml:space="preserve"> 3/  Incluye: Bonos COFIDE por US$ 1 166,5 millones y Bonos Fondo MIVIVIENDA por US$ 1 005,5 millones.</t>
  </si>
  <si>
    <t xml:space="preserve"> 4/  Incluye: Bonos COFIDE por US$ 325,9 millones y Bonos Fondo MIVIVIENDA por US$ 216,3 millones.</t>
  </si>
  <si>
    <t>Banco Interamericano de Finanzas</t>
  </si>
  <si>
    <t>Período: De 2009 al 31 de agosto 2023</t>
  </si>
</sst>
</file>

<file path=xl/styles.xml><?xml version="1.0" encoding="utf-8"?>
<styleSheet xmlns="http://schemas.openxmlformats.org/spreadsheetml/2006/main">
  <numFmts count="7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0"/>
    <numFmt numFmtId="218" formatCode="#,##0.00000;\-#,##0.00000"/>
    <numFmt numFmtId="219" formatCode="#,##0.000000_ ;\-#,##0.000000\ "/>
    <numFmt numFmtId="220" formatCode="#,##0.000000000"/>
    <numFmt numFmtId="221" formatCode="#,##0.0000;\-#,##0.0000"/>
    <numFmt numFmtId="222" formatCode="#,##0.0;\-#,##0.0"/>
    <numFmt numFmtId="223" formatCode="#,##0.00000;[Red]#,##0.00000"/>
    <numFmt numFmtId="224" formatCode="#,##0.0000000"/>
    <numFmt numFmtId="225" formatCode="#,##0_);\(#,##0\)"/>
  </numFmts>
  <fonts count="10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  <font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theme="0" tint="-0.4999699890613556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5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8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5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5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5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2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6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1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67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5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5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3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4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4" fillId="48" borderId="0" xfId="0" applyFont="1" applyFill="1" applyAlignment="1">
      <alignment/>
    </xf>
    <xf numFmtId="0" fontId="85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5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3" fillId="47" borderId="0" xfId="0" applyFont="1" applyFill="1" applyAlignment="1">
      <alignment/>
    </xf>
    <xf numFmtId="0" fontId="86" fillId="48" borderId="0" xfId="0" applyFont="1" applyFill="1" applyAlignment="1">
      <alignment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0" fontId="89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5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90" fillId="47" borderId="0" xfId="0" applyFont="1" applyFill="1" applyAlignment="1">
      <alignment/>
    </xf>
    <xf numFmtId="0" fontId="86" fillId="47" borderId="0" xfId="0" applyFont="1" applyFill="1" applyAlignment="1">
      <alignment/>
    </xf>
    <xf numFmtId="0" fontId="84" fillId="47" borderId="0" xfId="0" applyFont="1" applyFill="1" applyAlignment="1">
      <alignment/>
    </xf>
    <xf numFmtId="186" fontId="90" fillId="47" borderId="0" xfId="0" applyNumberFormat="1" applyFont="1" applyFill="1" applyAlignment="1">
      <alignment/>
    </xf>
    <xf numFmtId="0" fontId="83" fillId="47" borderId="0" xfId="0" applyFont="1" applyFill="1" applyBorder="1" applyAlignment="1">
      <alignment/>
    </xf>
    <xf numFmtId="0" fontId="85" fillId="47" borderId="0" xfId="0" applyFont="1" applyFill="1" applyAlignment="1">
      <alignment/>
    </xf>
    <xf numFmtId="38" fontId="90" fillId="47" borderId="0" xfId="0" applyNumberFormat="1" applyFont="1" applyFill="1" applyAlignment="1">
      <alignment/>
    </xf>
    <xf numFmtId="197" fontId="90" fillId="47" borderId="0" xfId="0" applyNumberFormat="1" applyFont="1" applyFill="1" applyAlignment="1">
      <alignment/>
    </xf>
    <xf numFmtId="1" fontId="90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1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0" fontId="95" fillId="47" borderId="0" xfId="0" applyFont="1" applyFill="1" applyAlignment="1">
      <alignment/>
    </xf>
    <xf numFmtId="38" fontId="92" fillId="47" borderId="0" xfId="0" applyNumberFormat="1" applyFont="1" applyFill="1" applyAlignment="1">
      <alignment/>
    </xf>
    <xf numFmtId="197" fontId="92" fillId="47" borderId="0" xfId="0" applyNumberFormat="1" applyFont="1" applyFill="1" applyAlignment="1">
      <alignment/>
    </xf>
    <xf numFmtId="1" fontId="92" fillId="48" borderId="0" xfId="0" applyNumberFormat="1" applyFont="1" applyFill="1" applyAlignment="1">
      <alignment/>
    </xf>
    <xf numFmtId="182" fontId="92" fillId="47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208" fontId="92" fillId="47" borderId="0" xfId="0" applyNumberFormat="1" applyFont="1" applyFill="1" applyAlignment="1">
      <alignment/>
    </xf>
    <xf numFmtId="186" fontId="92" fillId="47" borderId="0" xfId="0" applyNumberFormat="1" applyFont="1" applyFill="1" applyAlignment="1">
      <alignment/>
    </xf>
    <xf numFmtId="0" fontId="96" fillId="47" borderId="0" xfId="0" applyFont="1" applyFill="1" applyAlignment="1">
      <alignment/>
    </xf>
    <xf numFmtId="0" fontId="92" fillId="47" borderId="0" xfId="0" applyFont="1" applyFill="1" applyBorder="1" applyAlignment="1">
      <alignment/>
    </xf>
    <xf numFmtId="181" fontId="92" fillId="47" borderId="0" xfId="0" applyNumberFormat="1" applyFont="1" applyFill="1" applyBorder="1" applyAlignment="1">
      <alignment/>
    </xf>
    <xf numFmtId="0" fontId="93" fillId="47" borderId="0" xfId="0" applyFont="1" applyFill="1" applyBorder="1" applyAlignment="1">
      <alignment/>
    </xf>
    <xf numFmtId="0" fontId="93" fillId="47" borderId="0" xfId="0" applyFont="1" applyFill="1" applyAlignment="1" applyProtection="1">
      <alignment/>
      <protection/>
    </xf>
    <xf numFmtId="0" fontId="93" fillId="48" borderId="0" xfId="0" applyFont="1" applyFill="1" applyAlignment="1" applyProtection="1">
      <alignment/>
      <protection/>
    </xf>
    <xf numFmtId="179" fontId="93" fillId="48" borderId="0" xfId="0" applyNumberFormat="1" applyFont="1" applyFill="1" applyAlignment="1">
      <alignment/>
    </xf>
    <xf numFmtId="201" fontId="93" fillId="48" borderId="0" xfId="0" applyNumberFormat="1" applyFont="1" applyFill="1" applyAlignment="1">
      <alignment/>
    </xf>
    <xf numFmtId="209" fontId="93" fillId="47" borderId="0" xfId="0" applyNumberFormat="1" applyFont="1" applyFill="1" applyAlignment="1">
      <alignment/>
    </xf>
    <xf numFmtId="180" fontId="93" fillId="48" borderId="0" xfId="0" applyNumberFormat="1" applyFont="1" applyFill="1" applyAlignment="1">
      <alignment/>
    </xf>
    <xf numFmtId="204" fontId="93" fillId="48" borderId="0" xfId="0" applyNumberFormat="1" applyFont="1" applyFill="1" applyAlignment="1">
      <alignment/>
    </xf>
    <xf numFmtId="0" fontId="93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3" fillId="47" borderId="0" xfId="0" applyNumberFormat="1" applyFont="1" applyFill="1" applyAlignment="1">
      <alignment/>
    </xf>
    <xf numFmtId="4" fontId="97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4" fillId="48" borderId="0" xfId="0" applyFont="1" applyFill="1" applyAlignment="1">
      <alignment/>
    </xf>
    <xf numFmtId="4" fontId="97" fillId="48" borderId="0" xfId="0" applyNumberFormat="1" applyFont="1" applyFill="1" applyAlignment="1">
      <alignment/>
    </xf>
    <xf numFmtId="206" fontId="78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5" fillId="48" borderId="0" xfId="0" applyFont="1" applyFill="1" applyAlignment="1">
      <alignment/>
    </xf>
    <xf numFmtId="206" fontId="95" fillId="48" borderId="0" xfId="0" applyNumberFormat="1" applyFont="1" applyFill="1" applyAlignment="1">
      <alignment/>
    </xf>
    <xf numFmtId="0" fontId="82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6" fontId="93" fillId="48" borderId="0" xfId="0" applyNumberFormat="1" applyFont="1" applyFill="1" applyAlignment="1">
      <alignment/>
    </xf>
    <xf numFmtId="174" fontId="98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8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2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8" fillId="47" borderId="40" xfId="300" applyNumberFormat="1" applyFont="1" applyFill="1" applyBorder="1" applyAlignment="1">
      <alignment horizontal="right" vertical="center" wrapText="1" indent="1"/>
    </xf>
    <xf numFmtId="0" fontId="99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1" xfId="331" applyNumberFormat="1" applyFont="1" applyFill="1" applyBorder="1" applyAlignment="1">
      <alignment horizontal="right" vertical="center" indent="2"/>
      <protection/>
    </xf>
    <xf numFmtId="173" fontId="0" fillId="48" borderId="41" xfId="350" applyNumberFormat="1" applyFont="1" applyFill="1" applyBorder="1" applyAlignment="1">
      <alignment horizontal="right" vertical="center" indent="1"/>
    </xf>
    <xf numFmtId="173" fontId="3" fillId="48" borderId="42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1" xfId="331" applyFont="1" applyFill="1" applyBorder="1" applyAlignment="1">
      <alignment horizontal="right" vertical="center" indent="2"/>
      <protection/>
    </xf>
    <xf numFmtId="0" fontId="3" fillId="48" borderId="4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5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3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3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6" fillId="48" borderId="43" xfId="323" applyFont="1" applyFill="1" applyBorder="1" applyAlignment="1">
      <alignment horizontal="center" vertical="center"/>
      <protection/>
    </xf>
    <xf numFmtId="215" fontId="93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3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4" xfId="323" applyFont="1" applyFill="1" applyBorder="1" applyAlignment="1">
      <alignment horizontal="center" vertical="center"/>
      <protection/>
    </xf>
    <xf numFmtId="0" fontId="7" fillId="47" borderId="45" xfId="323" applyFont="1" applyFill="1" applyBorder="1">
      <alignment/>
      <protection/>
    </xf>
    <xf numFmtId="37" fontId="33" fillId="47" borderId="46" xfId="300" applyNumberFormat="1" applyFont="1" applyFill="1" applyBorder="1" applyAlignment="1">
      <alignment horizontal="right" vertical="center" wrapText="1" indent="1"/>
    </xf>
    <xf numFmtId="37" fontId="8" fillId="47" borderId="44" xfId="300" applyNumberFormat="1" applyFont="1" applyFill="1" applyBorder="1" applyAlignment="1">
      <alignment horizontal="right" vertical="center" wrapText="1" indent="1"/>
    </xf>
    <xf numFmtId="4" fontId="93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7" xfId="323" applyFont="1" applyFill="1" applyBorder="1" applyAlignment="1">
      <alignment horizontal="center" vertical="center"/>
      <protection/>
    </xf>
    <xf numFmtId="0" fontId="7" fillId="47" borderId="48" xfId="323" applyFont="1" applyFill="1" applyBorder="1">
      <alignment/>
      <protection/>
    </xf>
    <xf numFmtId="37" fontId="8" fillId="47" borderId="47" xfId="300" applyNumberFormat="1" applyFont="1" applyFill="1" applyBorder="1" applyAlignment="1">
      <alignment horizontal="right" vertical="center" wrapText="1" indent="1"/>
    </xf>
    <xf numFmtId="0" fontId="6" fillId="48" borderId="49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23" applyNumberFormat="1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198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7" fontId="0" fillId="48" borderId="0" xfId="0" applyNumberFormat="1" applyFont="1" applyFill="1" applyAlignment="1">
      <alignment vertical="center"/>
    </xf>
    <xf numFmtId="215" fontId="78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7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8" fillId="48" borderId="43" xfId="300" applyNumberFormat="1" applyFont="1" applyFill="1" applyBorder="1" applyAlignment="1">
      <alignment horizontal="right" vertical="center" indent="1"/>
    </xf>
    <xf numFmtId="0" fontId="6" fillId="47" borderId="44" xfId="323" applyFont="1" applyFill="1" applyBorder="1" applyAlignment="1">
      <alignment horizontal="center" vertical="center"/>
      <protection/>
    </xf>
    <xf numFmtId="0" fontId="6" fillId="48" borderId="50" xfId="323" applyFont="1" applyFill="1" applyBorder="1" applyAlignment="1">
      <alignment horizontal="center" vertical="center"/>
      <protection/>
    </xf>
    <xf numFmtId="0" fontId="7" fillId="47" borderId="51" xfId="323" applyFont="1" applyFill="1" applyBorder="1">
      <alignment/>
      <protection/>
    </xf>
    <xf numFmtId="37" fontId="33" fillId="47" borderId="52" xfId="300" applyNumberFormat="1" applyFont="1" applyFill="1" applyBorder="1" applyAlignment="1">
      <alignment horizontal="right" vertical="center" wrapText="1" indent="1"/>
    </xf>
    <xf numFmtId="37" fontId="8" fillId="47" borderId="53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3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1" xfId="350" applyNumberFormat="1" applyFont="1" applyFill="1" applyBorder="1" applyAlignment="1">
      <alignment horizontal="left" vertical="center" indent="2"/>
    </xf>
    <xf numFmtId="173" fontId="3" fillId="48" borderId="42" xfId="350" applyNumberFormat="1" applyFont="1" applyFill="1" applyBorder="1" applyAlignment="1">
      <alignment horizontal="left" vertical="center" indent="2"/>
    </xf>
    <xf numFmtId="0" fontId="3" fillId="48" borderId="41" xfId="331" applyFont="1" applyFill="1" applyBorder="1" applyAlignment="1">
      <alignment horizontal="center" vertical="center"/>
      <protection/>
    </xf>
    <xf numFmtId="0" fontId="6" fillId="48" borderId="40" xfId="323" applyFont="1" applyFill="1" applyBorder="1" applyAlignment="1">
      <alignment horizontal="center" vertical="center"/>
      <protection/>
    </xf>
    <xf numFmtId="0" fontId="7" fillId="47" borderId="54" xfId="323" applyFont="1" applyFill="1" applyBorder="1">
      <alignment/>
      <protection/>
    </xf>
    <xf numFmtId="0" fontId="8" fillId="47" borderId="54" xfId="323" applyFont="1" applyFill="1" applyBorder="1">
      <alignment/>
      <protection/>
    </xf>
    <xf numFmtId="215" fontId="97" fillId="48" borderId="0" xfId="0" applyNumberFormat="1" applyFont="1" applyFill="1" applyAlignment="1">
      <alignment/>
    </xf>
    <xf numFmtId="208" fontId="93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3" fillId="47" borderId="0" xfId="0" applyNumberFormat="1" applyFont="1" applyFill="1" applyBorder="1" applyAlignment="1">
      <alignment/>
    </xf>
    <xf numFmtId="219" fontId="93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18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0" fontId="11" fillId="48" borderId="55" xfId="0" applyFont="1" applyFill="1" applyBorder="1" applyAlignment="1">
      <alignment horizontal="center" vertical="center" wrapText="1"/>
    </xf>
    <xf numFmtId="3" fontId="11" fillId="48" borderId="55" xfId="300" applyNumberFormat="1" applyFont="1" applyFill="1" applyBorder="1" applyAlignment="1">
      <alignment horizontal="right" vertical="center" indent="1"/>
    </xf>
    <xf numFmtId="3" fontId="8" fillId="48" borderId="55" xfId="300" applyNumberFormat="1" applyFont="1" applyFill="1" applyBorder="1" applyAlignment="1">
      <alignment horizontal="right" vertical="center" indent="1"/>
    </xf>
    <xf numFmtId="3" fontId="33" fillId="48" borderId="55" xfId="300" applyNumberFormat="1" applyFont="1" applyFill="1" applyBorder="1" applyAlignment="1">
      <alignment horizontal="right" vertical="center" indent="1"/>
    </xf>
    <xf numFmtId="38" fontId="8" fillId="48" borderId="0" xfId="0" applyNumberFormat="1" applyFont="1" applyFill="1" applyAlignment="1">
      <alignment/>
    </xf>
    <xf numFmtId="220" fontId="97" fillId="47" borderId="0" xfId="0" applyNumberFormat="1" applyFont="1" applyFill="1" applyAlignment="1">
      <alignment/>
    </xf>
    <xf numFmtId="177" fontId="0" fillId="48" borderId="0" xfId="0" applyNumberFormat="1" applyFont="1" applyFill="1" applyAlignment="1">
      <alignment vertical="center"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38" fontId="8" fillId="47" borderId="54" xfId="323" applyNumberFormat="1" applyFont="1" applyFill="1" applyBorder="1">
      <alignment/>
      <protection/>
    </xf>
    <xf numFmtId="221" fontId="8" fillId="47" borderId="54" xfId="323" applyNumberFormat="1" applyFont="1" applyFill="1" applyBorder="1">
      <alignment/>
      <protection/>
    </xf>
    <xf numFmtId="215" fontId="100" fillId="48" borderId="0" xfId="0" applyNumberFormat="1" applyFont="1" applyFill="1" applyAlignment="1">
      <alignment/>
    </xf>
    <xf numFmtId="201" fontId="0" fillId="48" borderId="0" xfId="0" applyNumberFormat="1" applyFont="1" applyFill="1" applyBorder="1" applyAlignment="1">
      <alignment/>
    </xf>
    <xf numFmtId="204" fontId="0" fillId="48" borderId="0" xfId="300" applyNumberFormat="1" applyFont="1" applyFill="1" applyAlignment="1">
      <alignment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4" xfId="323" applyFont="1" applyFill="1" applyBorder="1" applyAlignment="1">
      <alignment horizontal="center" vertical="center"/>
      <protection/>
    </xf>
    <xf numFmtId="0" fontId="6" fillId="48" borderId="56" xfId="323" applyFont="1" applyFill="1" applyBorder="1" applyAlignment="1">
      <alignment horizontal="center" vertical="center"/>
      <protection/>
    </xf>
    <xf numFmtId="0" fontId="6" fillId="48" borderId="53" xfId="323" applyFont="1" applyFill="1" applyBorder="1" applyAlignment="1">
      <alignment horizontal="center" vertical="center"/>
      <protection/>
    </xf>
    <xf numFmtId="0" fontId="6" fillId="47" borderId="57" xfId="323" applyFont="1" applyFill="1" applyBorder="1" applyAlignment="1">
      <alignment vertical="center"/>
      <protection/>
    </xf>
    <xf numFmtId="0" fontId="6" fillId="47" borderId="58" xfId="323" applyFont="1" applyFill="1" applyBorder="1" applyAlignment="1">
      <alignment vertical="center"/>
      <protection/>
    </xf>
    <xf numFmtId="0" fontId="11" fillId="48" borderId="21" xfId="0" applyFont="1" applyFill="1" applyBorder="1" applyAlignment="1">
      <alignment horizontal="center" vertical="center" wrapText="1"/>
    </xf>
    <xf numFmtId="221" fontId="0" fillId="47" borderId="0" xfId="323" applyNumberFormat="1" applyFont="1" applyFill="1">
      <alignment/>
      <protection/>
    </xf>
    <xf numFmtId="3" fontId="8" fillId="48" borderId="26" xfId="300" applyNumberFormat="1" applyFont="1" applyFill="1" applyBorder="1" applyAlignment="1">
      <alignment horizontal="right" vertical="center" indent="1"/>
    </xf>
    <xf numFmtId="3" fontId="6" fillId="48" borderId="52" xfId="300" applyNumberFormat="1" applyFont="1" applyFill="1" applyBorder="1" applyAlignment="1">
      <alignment horizontal="right" vertical="center" indent="1"/>
    </xf>
    <xf numFmtId="3" fontId="11" fillId="48" borderId="52" xfId="300" applyNumberFormat="1" applyFont="1" applyFill="1" applyBorder="1" applyAlignment="1">
      <alignment horizontal="right" vertical="center" indent="1"/>
    </xf>
    <xf numFmtId="3" fontId="0" fillId="48" borderId="52" xfId="300" applyNumberFormat="1" applyFont="1" applyFill="1" applyBorder="1" applyAlignment="1">
      <alignment horizontal="right" vertical="center" indent="1"/>
    </xf>
    <xf numFmtId="38" fontId="0" fillId="48" borderId="52" xfId="300" applyNumberFormat="1" applyFont="1" applyFill="1" applyBorder="1" applyAlignment="1">
      <alignment horizontal="right" vertical="center" indent="1"/>
    </xf>
    <xf numFmtId="3" fontId="33" fillId="48" borderId="52" xfId="300" applyNumberFormat="1" applyFont="1" applyFill="1" applyBorder="1" applyAlignment="1">
      <alignment horizontal="right" vertical="center" indent="1"/>
    </xf>
    <xf numFmtId="223" fontId="0" fillId="48" borderId="0" xfId="0" applyNumberFormat="1" applyFont="1" applyFill="1" applyAlignment="1">
      <alignment/>
    </xf>
    <xf numFmtId="222" fontId="42" fillId="47" borderId="0" xfId="323" applyNumberFormat="1" applyFont="1" applyFill="1">
      <alignment/>
      <protection/>
    </xf>
    <xf numFmtId="186" fontId="8" fillId="47" borderId="0" xfId="323" applyNumberFormat="1" applyFont="1" applyFill="1">
      <alignment/>
      <protection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224" fontId="93" fillId="48" borderId="0" xfId="0" applyNumberFormat="1" applyFont="1" applyFill="1" applyAlignment="1">
      <alignment/>
    </xf>
    <xf numFmtId="3" fontId="8" fillId="48" borderId="22" xfId="300" applyNumberFormat="1" applyFont="1" applyFill="1" applyBorder="1" applyAlignment="1">
      <alignment horizontal="right" indent="1"/>
    </xf>
    <xf numFmtId="0" fontId="8" fillId="48" borderId="22" xfId="0" applyFont="1" applyFill="1" applyBorder="1" applyAlignment="1">
      <alignment horizontal="left" vertical="top" wrapText="1" indent="3"/>
    </xf>
    <xf numFmtId="0" fontId="6" fillId="47" borderId="59" xfId="323" applyFont="1" applyFill="1" applyBorder="1" applyAlignment="1">
      <alignment vertical="center"/>
      <protection/>
    </xf>
    <xf numFmtId="0" fontId="6" fillId="47" borderId="60" xfId="323" applyFont="1" applyFill="1" applyBorder="1" applyAlignment="1">
      <alignment vertical="center"/>
      <protection/>
    </xf>
    <xf numFmtId="0" fontId="8" fillId="48" borderId="19" xfId="323" applyFont="1" applyFill="1" applyBorder="1" applyAlignment="1">
      <alignment horizontal="left" vertical="center" indent="3"/>
      <protection/>
    </xf>
    <xf numFmtId="3" fontId="8" fillId="0" borderId="52" xfId="300" applyNumberFormat="1" applyFont="1" applyFill="1" applyBorder="1" applyAlignment="1">
      <alignment horizontal="right" vertical="center" indent="1"/>
    </xf>
    <xf numFmtId="3" fontId="8" fillId="48" borderId="52" xfId="300" applyNumberFormat="1" applyFont="1" applyFill="1" applyBorder="1" applyAlignment="1">
      <alignment horizontal="right" vertical="center" indent="1"/>
    </xf>
    <xf numFmtId="0" fontId="6" fillId="48" borderId="51" xfId="323" applyFont="1" applyFill="1" applyBorder="1" applyAlignment="1">
      <alignment horizontal="center" vertical="center" wrapText="1"/>
      <protection/>
    </xf>
    <xf numFmtId="0" fontId="8" fillId="0" borderId="19" xfId="323" applyFont="1" applyFill="1" applyBorder="1" applyAlignment="1">
      <alignment horizontal="left" vertical="center" indent="3"/>
      <protection/>
    </xf>
    <xf numFmtId="0" fontId="6" fillId="48" borderId="52" xfId="323" applyFont="1" applyFill="1" applyBorder="1" applyAlignment="1">
      <alignment horizontal="center" vertical="center" wrapText="1"/>
      <protection/>
    </xf>
    <xf numFmtId="3" fontId="8" fillId="48" borderId="53" xfId="300" applyNumberFormat="1" applyFont="1" applyFill="1" applyBorder="1" applyAlignment="1">
      <alignment horizontal="right" vertical="center" indent="1"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0" borderId="22" xfId="323" applyFont="1" applyBorder="1" applyAlignment="1">
      <alignment horizontal="left" vertical="center" indent="3"/>
      <protection/>
    </xf>
    <xf numFmtId="3" fontId="11" fillId="48" borderId="61" xfId="300" applyNumberFormat="1" applyFont="1" applyFill="1" applyBorder="1" applyAlignment="1">
      <alignment horizontal="right" vertical="center" indent="1"/>
    </xf>
    <xf numFmtId="3" fontId="0" fillId="0" borderId="22" xfId="30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vertical="center"/>
    </xf>
    <xf numFmtId="0" fontId="11" fillId="48" borderId="54" xfId="0" applyFont="1" applyFill="1" applyBorder="1" applyAlignment="1">
      <alignment horizontal="left" vertical="center"/>
    </xf>
    <xf numFmtId="0" fontId="8" fillId="48" borderId="19" xfId="0" applyFont="1" applyFill="1" applyBorder="1" applyAlignment="1">
      <alignment horizontal="center" vertical="center"/>
    </xf>
    <xf numFmtId="0" fontId="8" fillId="48" borderId="54" xfId="0" applyFont="1" applyFill="1" applyBorder="1" applyAlignment="1">
      <alignment horizontal="center" vertical="center"/>
    </xf>
    <xf numFmtId="14" fontId="99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9" fillId="48" borderId="0" xfId="289" applyFont="1" applyFill="1" applyAlignment="1" applyProtection="1">
      <alignment horizontal="left" vertical="center"/>
      <protection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4" fontId="98" fillId="48" borderId="0" xfId="0" applyNumberFormat="1" applyFont="1" applyFill="1" applyAlignment="1">
      <alignment horizontal="center" vertical="center" wrapText="1"/>
    </xf>
    <xf numFmtId="0" fontId="0" fillId="47" borderId="0" xfId="0" applyFont="1" applyFill="1" applyAlignment="1">
      <alignment horizontal="left" vertical="center" wrapText="1"/>
    </xf>
    <xf numFmtId="14" fontId="0" fillId="47" borderId="0" xfId="0" applyNumberFormat="1" applyFont="1" applyFill="1" applyAlignment="1">
      <alignment horizontal="left" vertical="center" wrapText="1"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3" fillId="48" borderId="62" xfId="331" applyFont="1" applyFill="1" applyBorder="1" applyAlignment="1">
      <alignment horizontal="center" vertical="center"/>
      <protection/>
    </xf>
    <xf numFmtId="0" fontId="3" fillId="48" borderId="63" xfId="331" applyFont="1" applyFill="1" applyBorder="1" applyAlignment="1">
      <alignment horizontal="center" vertical="center"/>
      <protection/>
    </xf>
    <xf numFmtId="0" fontId="3" fillId="48" borderId="64" xfId="331" applyFont="1" applyFill="1" applyBorder="1" applyAlignment="1">
      <alignment horizontal="center" vertical="center"/>
      <protection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6" fillId="48" borderId="0" xfId="0" applyFont="1" applyFill="1" applyBorder="1" applyAlignment="1">
      <alignment horizontal="center" vertical="center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5" xfId="323" applyFont="1" applyFill="1" applyBorder="1" applyAlignment="1">
      <alignment horizontal="center" vertical="center"/>
      <protection/>
    </xf>
    <xf numFmtId="0" fontId="6" fillId="47" borderId="53" xfId="323" applyFont="1" applyFill="1" applyBorder="1" applyAlignment="1">
      <alignment horizontal="center" vertical="center"/>
      <protection/>
    </xf>
    <xf numFmtId="37" fontId="6" fillId="47" borderId="51" xfId="300" applyNumberFormat="1" applyFont="1" applyFill="1" applyBorder="1" applyAlignment="1">
      <alignment horizontal="right" vertical="center" wrapText="1" indent="1"/>
    </xf>
    <xf numFmtId="37" fontId="6" fillId="47" borderId="53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37" fontId="6" fillId="47" borderId="45" xfId="300" applyNumberFormat="1" applyFont="1" applyFill="1" applyBorder="1" applyAlignment="1">
      <alignment horizontal="right" vertical="center" wrapText="1" indent="1"/>
    </xf>
    <xf numFmtId="37" fontId="6" fillId="47" borderId="44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56" xfId="300" applyNumberFormat="1" applyFont="1" applyFill="1" applyBorder="1" applyAlignment="1">
      <alignment horizontal="right" vertical="center" wrapText="1" indent="1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3" xfId="300" applyNumberFormat="1" applyFont="1" applyFill="1" applyBorder="1" applyAlignment="1">
      <alignment horizontal="right" vertical="center" wrapText="1" indent="1"/>
    </xf>
    <xf numFmtId="0" fontId="6" fillId="47" borderId="66" xfId="323" applyFont="1" applyFill="1" applyBorder="1" applyAlignment="1">
      <alignment horizontal="center" vertical="center"/>
      <protection/>
    </xf>
    <xf numFmtId="0" fontId="6" fillId="47" borderId="40" xfId="323" applyFont="1" applyFill="1" applyBorder="1" applyAlignment="1">
      <alignment horizontal="center" vertical="center"/>
      <protection/>
    </xf>
    <xf numFmtId="37" fontId="6" fillId="47" borderId="48" xfId="300" applyNumberFormat="1" applyFont="1" applyFill="1" applyBorder="1" applyAlignment="1">
      <alignment horizontal="right" vertical="center" wrapText="1" indent="1"/>
    </xf>
    <xf numFmtId="37" fontId="6" fillId="47" borderId="47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0" xfId="300" applyNumberFormat="1" applyFont="1" applyFill="1" applyBorder="1" applyAlignment="1">
      <alignment horizontal="right" vertical="center" wrapText="1" indent="1"/>
    </xf>
    <xf numFmtId="0" fontId="6" fillId="47" borderId="59" xfId="323" applyFont="1" applyFill="1" applyBorder="1" applyAlignment="1">
      <alignment horizontal="center" vertical="center" wrapText="1"/>
      <protection/>
    </xf>
    <xf numFmtId="0" fontId="6" fillId="47" borderId="60" xfId="323" applyFont="1" applyFill="1" applyBorder="1" applyAlignment="1">
      <alignment horizontal="center" vertical="center" wrapText="1"/>
      <protection/>
    </xf>
    <xf numFmtId="0" fontId="6" fillId="47" borderId="67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57" xfId="323" applyFont="1" applyFill="1" applyBorder="1" applyAlignment="1">
      <alignment horizontal="center" vertical="center"/>
      <protection/>
    </xf>
    <xf numFmtId="0" fontId="6" fillId="47" borderId="47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6" fillId="47" borderId="68" xfId="323" applyFont="1" applyFill="1" applyBorder="1" applyAlignment="1">
      <alignment horizontal="center" vertical="center" wrapText="1"/>
      <protection/>
    </xf>
    <xf numFmtId="0" fontId="6" fillId="47" borderId="44" xfId="323" applyFont="1" applyFill="1" applyBorder="1" applyAlignment="1">
      <alignment horizontal="center" vertical="center" wrapText="1"/>
      <protection/>
    </xf>
    <xf numFmtId="0" fontId="11" fillId="48" borderId="69" xfId="0" applyFont="1" applyFill="1" applyBorder="1" applyAlignment="1">
      <alignment horizontal="center" vertical="center" wrapText="1"/>
    </xf>
    <xf numFmtId="0" fontId="11" fillId="48" borderId="70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11" fillId="48" borderId="71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3" fontId="6" fillId="48" borderId="72" xfId="300" applyNumberFormat="1" applyFont="1" applyFill="1" applyBorder="1" applyAlignment="1">
      <alignment horizontal="right" vertical="center" indent="1"/>
    </xf>
    <xf numFmtId="3" fontId="6" fillId="48" borderId="73" xfId="300" applyNumberFormat="1" applyFont="1" applyFill="1" applyBorder="1" applyAlignment="1">
      <alignment horizontal="right" vertical="center" indent="1"/>
    </xf>
    <xf numFmtId="0" fontId="11" fillId="48" borderId="74" xfId="0" applyFont="1" applyFill="1" applyBorder="1" applyAlignment="1">
      <alignment horizontal="center" vertical="center" wrapText="1"/>
    </xf>
    <xf numFmtId="0" fontId="11" fillId="48" borderId="75" xfId="0" applyFont="1" applyFill="1" applyBorder="1" applyAlignment="1">
      <alignment horizontal="center" vertical="center" wrapText="1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3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6" fillId="48" borderId="69" xfId="0" applyFont="1" applyFill="1" applyBorder="1" applyAlignment="1">
      <alignment horizontal="center" vertical="center" wrapText="1"/>
    </xf>
    <xf numFmtId="0" fontId="6" fillId="48" borderId="70" xfId="0" applyFont="1" applyFill="1" applyBorder="1" applyAlignment="1">
      <alignment horizontal="center" vertical="center" wrapText="1"/>
    </xf>
    <xf numFmtId="0" fontId="11" fillId="48" borderId="76" xfId="0" applyFont="1" applyFill="1" applyBorder="1" applyAlignment="1">
      <alignment horizontal="center" vertical="center" wrapText="1"/>
    </xf>
    <xf numFmtId="0" fontId="11" fillId="48" borderId="77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0" fillId="48" borderId="0" xfId="0" applyFont="1" applyFill="1" applyAlignment="1">
      <alignment horizontal="left" vertical="center" wrapText="1"/>
    </xf>
    <xf numFmtId="216" fontId="6" fillId="48" borderId="21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216" fontId="6" fillId="48" borderId="22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38" xfId="323" applyFont="1" applyFill="1" applyBorder="1" applyAlignment="1">
      <alignment horizontal="left" vertical="center" indent="1"/>
      <protection/>
    </xf>
    <xf numFmtId="0" fontId="6" fillId="48" borderId="56" xfId="323" applyFont="1" applyFill="1" applyBorder="1" applyAlignment="1">
      <alignment horizontal="left" vertical="center" indent="1"/>
      <protection/>
    </xf>
    <xf numFmtId="3" fontId="6" fillId="48" borderId="51" xfId="300" applyNumberFormat="1" applyFont="1" applyFill="1" applyBorder="1" applyAlignment="1">
      <alignment horizontal="right" vertical="center" indent="1"/>
    </xf>
    <xf numFmtId="3" fontId="6" fillId="48" borderId="78" xfId="300" applyNumberFormat="1" applyFont="1" applyFill="1" applyBorder="1" applyAlignment="1">
      <alignment horizontal="right" vertical="center" indent="1"/>
    </xf>
    <xf numFmtId="0" fontId="6" fillId="48" borderId="20" xfId="323" applyFont="1" applyFill="1" applyBorder="1" applyAlignment="1">
      <alignment horizontal="left" vertical="center" indent="1"/>
      <protection/>
    </xf>
    <xf numFmtId="0" fontId="6" fillId="48" borderId="24" xfId="323" applyFont="1" applyFill="1" applyBorder="1" applyAlignment="1">
      <alignment horizontal="left" vertical="center" indent="1"/>
      <protection/>
    </xf>
    <xf numFmtId="3" fontId="6" fillId="48" borderId="53" xfId="300" applyNumberFormat="1" applyFont="1" applyFill="1" applyBorder="1" applyAlignment="1">
      <alignment horizontal="right" vertical="center" indent="1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"/>
          <c:y val="0.09775"/>
          <c:w val="0.491"/>
          <c:h val="0.79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7629.45213082</c:v>
                </c:pt>
                <c:pt idx="1">
                  <c:v>1825.68097081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25"/>
          <c:w val="0.4937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4258.232791859999</c:v>
                </c:pt>
                <c:pt idx="1">
                  <c:v>5196.9003097700015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525"/>
          <c:y val="0.09675"/>
          <c:w val="0.50225"/>
          <c:h val="0.79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8850.420134020002</c:v>
                </c:pt>
                <c:pt idx="1">
                  <c:v>604.71296761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"/>
          <c:y val="0.09725"/>
          <c:w val="0.49725"/>
          <c:h val="0.79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3740.88425816</c:v>
                </c:pt>
                <c:pt idx="1">
                  <c:v>5714.24884347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5714.24884347</c:v>
                </c:pt>
                <c:pt idx="1">
                  <c:v>2301.69227279</c:v>
                </c:pt>
                <c:pt idx="2">
                  <c:v>447.72228602000007</c:v>
                </c:pt>
                <c:pt idx="3">
                  <c:v>381.71246272999997</c:v>
                </c:pt>
                <c:pt idx="4">
                  <c:v>609.7572366200001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6994.73046917</c:v>
                </c:pt>
                <c:pt idx="1">
                  <c:v>1994.1353957800004</c:v>
                </c:pt>
                <c:pt idx="2">
                  <c:v>134.97285715</c:v>
                </c:pt>
                <c:pt idx="3">
                  <c:v>331.2943795299999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75"/>
          <c:y val="0.136"/>
          <c:w val="0.775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'DEP-C1'!$C$12:$BI$13</c:f>
              <c:multiLvlStrCache/>
            </c:multiLvlStrRef>
          </c:cat>
          <c:val>
            <c:numRef>
              <c:f>'DEP-C1'!$C$15:$BI$15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'DEP-C1'!$C$12:$BI$13</c:f>
              <c:multiLvlStrCache/>
            </c:multiLvlStrRef>
          </c:cat>
          <c:val>
            <c:numRef>
              <c:f>'DEP-C1'!$C$16:$BI$16</c:f>
              <c:numCache/>
            </c:numRef>
          </c:val>
        </c:ser>
        <c:axId val="57797214"/>
        <c:axId val="65831391"/>
      </c:barChart>
      <c:catAx>
        <c:axId val="57797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31391"/>
        <c:crosses val="autoZero"/>
        <c:auto val="1"/>
        <c:lblOffset val="100"/>
        <c:tickLblSkip val="1"/>
        <c:noMultiLvlLbl val="0"/>
      </c:catAx>
      <c:valAx>
        <c:axId val="65831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97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"/>
          <c:y val="0.39375"/>
          <c:w val="0.193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82023.xls#Indice!B6" /><Relationship Id="rId3" Type="http://schemas.openxmlformats.org/officeDocument/2006/relationships/hyperlink" Target="#Reporte_Deuda_Empresas_SG_31082023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82023.xls#Indice!B6" /><Relationship Id="rId3" Type="http://schemas.openxmlformats.org/officeDocument/2006/relationships/hyperlink" Target="#Reporte_Deuda_Empresas_SG_31082023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82023.xls#Indice!B6" /><Relationship Id="rId3" Type="http://schemas.openxmlformats.org/officeDocument/2006/relationships/hyperlink" Target="#Reporte_Deuda_Empresas_SG_31082023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82023.xls#Indice!B6" /><Relationship Id="rId3" Type="http://schemas.openxmlformats.org/officeDocument/2006/relationships/hyperlink" Target="#Reporte_Deuda_Empresas_SG_31082023.xls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82023.xls#Indice!B6" /><Relationship Id="rId3" Type="http://schemas.openxmlformats.org/officeDocument/2006/relationships/hyperlink" Target="#Reporte_Deuda_Empresas_SG_31082023.xls#Indice!B6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jpeg" /><Relationship Id="rId8" Type="http://schemas.openxmlformats.org/officeDocument/2006/relationships/hyperlink" Target="#Reporte_Deuda_Empresas_SG_31082023.xls#Indice!B6" /><Relationship Id="rId9" Type="http://schemas.openxmlformats.org/officeDocument/2006/relationships/hyperlink" Target="#Reporte_Deuda_Empresas_SG_31082023.xls#Indice!B6" /><Relationship Id="rId10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82023.xls#Indice!B6" /><Relationship Id="rId4" Type="http://schemas.openxmlformats.org/officeDocument/2006/relationships/hyperlink" Target="#Reporte_Deuda_Empresas_SG_31082023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82023.xls#Indice!B6" /><Relationship Id="rId3" Type="http://schemas.openxmlformats.org/officeDocument/2006/relationships/hyperlink" Target="#Reporte_Deuda_Empresas_SG_31082023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82023.xls#Indice!B6" /><Relationship Id="rId3" Type="http://schemas.openxmlformats.org/officeDocument/2006/relationships/hyperlink" Target="#Reporte_Deuda_Empresas_SG_31082023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82023.xls#Indice!B6" /><Relationship Id="rId3" Type="http://schemas.openxmlformats.org/officeDocument/2006/relationships/hyperlink" Target="#Reporte_Deuda_Empresas_SG_31082023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82023.xls#Indice!B6" /><Relationship Id="rId3" Type="http://schemas.openxmlformats.org/officeDocument/2006/relationships/hyperlink" Target="#Reporte_Deuda_Empresas_SG_31082023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6191250</xdr:colOff>
      <xdr:row>0</xdr:row>
      <xdr:rowOff>152400</xdr:rowOff>
    </xdr:from>
    <xdr:to>
      <xdr:col>1</xdr:col>
      <xdr:colOff>6591300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114300</xdr:rowOff>
    </xdr:from>
    <xdr:to>
      <xdr:col>3</xdr:col>
      <xdr:colOff>1066800</xdr:colOff>
      <xdr:row>1</xdr:row>
      <xdr:rowOff>200025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14300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5534025</xdr:colOff>
      <xdr:row>0</xdr:row>
      <xdr:rowOff>114300</xdr:rowOff>
    </xdr:from>
    <xdr:to>
      <xdr:col>1</xdr:col>
      <xdr:colOff>5886450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4300"/>
          <a:ext cx="3524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114300</xdr:rowOff>
    </xdr:from>
    <xdr:to>
      <xdr:col>6</xdr:col>
      <xdr:colOff>381000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43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85725</xdr:rowOff>
    </xdr:from>
    <xdr:to>
      <xdr:col>6</xdr:col>
      <xdr:colOff>390525</xdr:colOff>
      <xdr:row>1</xdr:row>
      <xdr:rowOff>190500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324100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582025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553450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324100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419725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419725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1133475</xdr:colOff>
      <xdr:row>0</xdr:row>
      <xdr:rowOff>114300</xdr:rowOff>
    </xdr:from>
    <xdr:to>
      <xdr:col>6</xdr:col>
      <xdr:colOff>161925</xdr:colOff>
      <xdr:row>2</xdr:row>
      <xdr:rowOff>76200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2</xdr:row>
      <xdr:rowOff>104775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49</xdr:col>
      <xdr:colOff>9525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14966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171450</xdr:colOff>
      <xdr:row>0</xdr:row>
      <xdr:rowOff>123825</xdr:rowOff>
    </xdr:from>
    <xdr:to>
      <xdr:col>17</xdr:col>
      <xdr:colOff>561975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23825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17</xdr:col>
      <xdr:colOff>104775</xdr:colOff>
      <xdr:row>2</xdr:row>
      <xdr:rowOff>114300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38100"/>
          <a:ext cx="545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114300</xdr:rowOff>
    </xdr:from>
    <xdr:to>
      <xdr:col>4</xdr:col>
      <xdr:colOff>95250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133350</xdr:rowOff>
    </xdr:from>
    <xdr:to>
      <xdr:col>3</xdr:col>
      <xdr:colOff>1057275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33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104775</xdr:rowOff>
    </xdr:from>
    <xdr:to>
      <xdr:col>2</xdr:col>
      <xdr:colOff>1095375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114300</xdr:rowOff>
    </xdr:from>
    <xdr:to>
      <xdr:col>3</xdr:col>
      <xdr:colOff>942975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1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49" t="str">
        <f>+Portada!$B$6</f>
        <v>DEUDA DE LAS EMPRESAS PÚBLICAS</v>
      </c>
      <c r="C6" s="549"/>
      <c r="D6" s="549"/>
      <c r="E6" s="549"/>
      <c r="F6" s="549"/>
      <c r="G6" s="549"/>
    </row>
    <row r="7" spans="2:7" s="4" customFormat="1" ht="24.75" customHeight="1">
      <c r="B7" s="550" t="s">
        <v>256</v>
      </c>
      <c r="C7" s="550"/>
      <c r="D7" s="550"/>
      <c r="E7" s="550"/>
      <c r="F7" s="550"/>
      <c r="G7" s="550"/>
    </row>
    <row r="8" spans="2:5" s="4" customFormat="1" ht="15.75" customHeight="1">
      <c r="B8" s="248"/>
      <c r="C8" s="248"/>
      <c r="D8" s="493"/>
      <c r="E8" s="130"/>
    </row>
    <row r="9" spans="2:5" ht="19.5" customHeight="1">
      <c r="B9" s="86"/>
      <c r="C9" s="86"/>
      <c r="D9" s="403" t="s">
        <v>66</v>
      </c>
      <c r="E9" s="86"/>
    </row>
    <row r="10" spans="2:5" s="7" customFormat="1" ht="19.5" customHeight="1">
      <c r="B10" s="183"/>
      <c r="C10" s="183"/>
      <c r="D10" s="403" t="s">
        <v>172</v>
      </c>
      <c r="E10" s="71"/>
    </row>
    <row r="11" spans="2:5" s="7" customFormat="1" ht="19.5" customHeight="1">
      <c r="B11" s="184"/>
      <c r="C11" s="183"/>
      <c r="D11" s="403" t="s">
        <v>173</v>
      </c>
      <c r="E11" s="71"/>
    </row>
    <row r="12" spans="2:5" s="7" customFormat="1" ht="9.75" customHeight="1">
      <c r="B12" s="184"/>
      <c r="C12" s="183"/>
      <c r="D12" s="315"/>
      <c r="E12" s="71"/>
    </row>
    <row r="13" spans="2:8" s="7" customFormat="1" ht="19.5" customHeight="1">
      <c r="B13" s="183" t="s">
        <v>11</v>
      </c>
      <c r="C13" s="183" t="s">
        <v>8</v>
      </c>
      <c r="D13" s="548" t="s">
        <v>212</v>
      </c>
      <c r="E13" s="548"/>
      <c r="F13" s="548"/>
      <c r="G13" s="548"/>
      <c r="H13" s="548"/>
    </row>
    <row r="14" spans="2:6" s="7" customFormat="1" ht="19.5" customHeight="1">
      <c r="B14" s="183" t="s">
        <v>12</v>
      </c>
      <c r="C14" s="183" t="s">
        <v>8</v>
      </c>
      <c r="D14" s="548" t="s">
        <v>152</v>
      </c>
      <c r="E14" s="548"/>
      <c r="F14" s="548"/>
    </row>
    <row r="15" spans="2:6" s="7" customFormat="1" ht="19.5" customHeight="1">
      <c r="B15" s="183" t="s">
        <v>13</v>
      </c>
      <c r="C15" s="183" t="s">
        <v>8</v>
      </c>
      <c r="D15" s="551" t="s">
        <v>37</v>
      </c>
      <c r="E15" s="551"/>
      <c r="F15" s="551"/>
    </row>
    <row r="16" spans="2:6" s="7" customFormat="1" ht="19.5" customHeight="1">
      <c r="B16" s="183" t="s">
        <v>14</v>
      </c>
      <c r="C16" s="183" t="s">
        <v>8</v>
      </c>
      <c r="D16" s="551" t="s">
        <v>32</v>
      </c>
      <c r="E16" s="551"/>
      <c r="F16" s="551"/>
    </row>
    <row r="17" spans="2:6" s="7" customFormat="1" ht="19.5" customHeight="1">
      <c r="B17" s="183" t="s">
        <v>90</v>
      </c>
      <c r="C17" s="183" t="s">
        <v>8</v>
      </c>
      <c r="D17" s="551" t="s">
        <v>1</v>
      </c>
      <c r="E17" s="551"/>
      <c r="F17" s="551"/>
    </row>
    <row r="18" spans="2:6" s="7" customFormat="1" ht="19.5" customHeight="1">
      <c r="B18" s="183" t="s">
        <v>59</v>
      </c>
      <c r="C18" s="183" t="s">
        <v>8</v>
      </c>
      <c r="D18" s="551" t="s">
        <v>57</v>
      </c>
      <c r="E18" s="551"/>
      <c r="F18" s="551"/>
    </row>
    <row r="19" spans="2:6" s="7" customFormat="1" ht="19.5" customHeight="1">
      <c r="B19" s="183" t="s">
        <v>15</v>
      </c>
      <c r="C19" s="183" t="s">
        <v>8</v>
      </c>
      <c r="D19" s="551" t="s">
        <v>104</v>
      </c>
      <c r="E19" s="551"/>
      <c r="F19" s="551"/>
    </row>
    <row r="20" spans="2:6" s="7" customFormat="1" ht="19.5" customHeight="1">
      <c r="B20" s="183" t="s">
        <v>16</v>
      </c>
      <c r="C20" s="183" t="s">
        <v>8</v>
      </c>
      <c r="D20" s="551" t="s">
        <v>58</v>
      </c>
      <c r="E20" s="551"/>
      <c r="F20" s="551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1082023.xls#Resumen!B5" display="CUADROS RESUMEN"/>
    <hyperlink ref="D11" location="Reporte_Deuda_Empresas_SG_31082023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1082023.xls#Portada!B6" display="PORTADA"/>
    <hyperlink ref="D19" location="'Grupo Acreedor'!A1" display="POR GRUPO DEL ACREEDOR"/>
    <hyperlink ref="D14:F14" location="Reporte_Deuda_Empresas_SG_31082023.xls#'DEP-C2'!B5" display="POR TIPO DE DEUDA Y TIPO DE EMPRESA"/>
    <hyperlink ref="D16:F16" location="'DEP-C4'!B5" display="POR TIPO DE EMPRESA Y ACREEDOR"/>
    <hyperlink ref="D15:F15" location="Reporte_Deuda_Empresas_SG_31082023.xls#'DEP-C3'!B5" display="POR TIPO DE MONEDA"/>
    <hyperlink ref="D17:F17" location="Reporte_Deuda_Empresas_SG_31082023.xls#'DEP-C5'!B5" display="POR GRUPO EMPRESARIAL DEL DEUDOR"/>
    <hyperlink ref="D18:F18" location="Reporte_Deuda_Empresas_SG_31082023.xls#'DEP-C6'!B5" display="POR GRUPO EMPRESARIAL Y ENTIDAD DEUDORA"/>
    <hyperlink ref="D19:F19" location="Reporte_Deuda_Empresas_SG_31082023.xls#'DEP-C7'!B5" display="POR TIPO DE EMPRESA Y GRUPO DEL ACREEDOR "/>
    <hyperlink ref="D13:F13" r:id="rId1" display="EVOLUCIÓN DE LA DEUDA DE LAS EMPRESAS PÚBLICAS"/>
    <hyperlink ref="D13:H13" location="Reporte_Deuda_Empresas_SG_31082023.xls#'DEP-C1'!B5" display="EVOLUCIÓN DE LA DEUDA DE LAS EMPRESAS PÚBLICAS - POR TIPO DE DEUDA"/>
    <hyperlink ref="D20:F20" location="Reporte_Deuda_Empresas_SG_31082023.xls#'DEP-C8'!B5" display="POR TIPO DE CONCERTACIÓN Y TIPO DE EMPRES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3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bestFit="1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24.75" customHeight="1">
      <c r="B4" s="103"/>
      <c r="C4" s="103"/>
    </row>
    <row r="5" spans="2:5" ht="18">
      <c r="B5" s="129" t="s">
        <v>59</v>
      </c>
      <c r="C5" s="129"/>
      <c r="D5" s="129"/>
      <c r="E5" s="129"/>
    </row>
    <row r="6" spans="2:6" s="89" customFormat="1" ht="18.75">
      <c r="B6" s="317" t="s">
        <v>135</v>
      </c>
      <c r="C6" s="317"/>
      <c r="D6" s="317"/>
      <c r="E6" s="317"/>
      <c r="F6" s="88"/>
    </row>
    <row r="7" spans="2:6" s="89" customFormat="1" ht="18.75">
      <c r="B7" s="317" t="s">
        <v>134</v>
      </c>
      <c r="C7" s="317"/>
      <c r="D7" s="317"/>
      <c r="E7" s="263"/>
      <c r="F7" s="88"/>
    </row>
    <row r="8" spans="2:6" s="89" customFormat="1" ht="18.75">
      <c r="B8" s="341" t="s">
        <v>57</v>
      </c>
      <c r="C8" s="361"/>
      <c r="D8" s="361"/>
      <c r="E8" s="361"/>
      <c r="F8" s="88"/>
    </row>
    <row r="9" spans="2:6" s="89" customFormat="1" ht="18.75">
      <c r="B9" s="133" t="str">
        <f>+'DEP-C2'!B9</f>
        <v>Al 31 de agosto de 2023</v>
      </c>
      <c r="C9" s="362"/>
      <c r="D9" s="268"/>
      <c r="E9" s="268"/>
      <c r="F9" s="316">
        <f>+Portada!H39</f>
        <v>3.699</v>
      </c>
    </row>
    <row r="10" spans="2:5" ht="9.75" customHeight="1">
      <c r="B10" s="627"/>
      <c r="C10" s="627"/>
      <c r="D10" s="627"/>
      <c r="E10" s="627"/>
    </row>
    <row r="11" spans="2:5" ht="18" customHeight="1">
      <c r="B11" s="625" t="s">
        <v>95</v>
      </c>
      <c r="C11" s="625" t="s">
        <v>26</v>
      </c>
      <c r="D11" s="636" t="s">
        <v>86</v>
      </c>
      <c r="E11" s="637" t="s">
        <v>163</v>
      </c>
    </row>
    <row r="12" spans="2:6" s="81" customFormat="1" ht="18" customHeight="1">
      <c r="B12" s="626"/>
      <c r="C12" s="626"/>
      <c r="D12" s="620"/>
      <c r="E12" s="638"/>
      <c r="F12" s="90"/>
    </row>
    <row r="13" spans="2:6" s="81" customFormat="1" ht="9.75" customHeight="1">
      <c r="B13" s="110"/>
      <c r="C13" s="266"/>
      <c r="D13" s="94"/>
      <c r="E13" s="269"/>
      <c r="F13" s="90"/>
    </row>
    <row r="14" spans="2:6" s="65" customFormat="1" ht="16.5" customHeight="1">
      <c r="B14" s="367" t="s">
        <v>213</v>
      </c>
      <c r="C14" s="545"/>
      <c r="D14" s="519">
        <f>SUM(D15:D28)</f>
        <v>4711750.365219997</v>
      </c>
      <c r="E14" s="466">
        <f>SUM(E15:E28)</f>
        <v>17428764.60094878</v>
      </c>
      <c r="F14" s="71"/>
    </row>
    <row r="15" spans="2:6" s="65" customFormat="1" ht="16.5" customHeight="1">
      <c r="B15" s="93" t="s">
        <v>168</v>
      </c>
      <c r="C15" s="546" t="s">
        <v>91</v>
      </c>
      <c r="D15" s="535">
        <v>2262553.108279999</v>
      </c>
      <c r="E15" s="465">
        <f>ROUND(D15*$F$9,8)</f>
        <v>8369183.94752772</v>
      </c>
      <c r="F15" s="71"/>
    </row>
    <row r="16" spans="2:6" s="65" customFormat="1" ht="16.5" customHeight="1">
      <c r="B16" s="93" t="s">
        <v>207</v>
      </c>
      <c r="C16" s="546" t="s">
        <v>91</v>
      </c>
      <c r="D16" s="535">
        <v>1982703.2034199997</v>
      </c>
      <c r="E16" s="465">
        <f aca="true" t="shared" si="0" ref="E16:E28">ROUND(D16*$F$9,8)</f>
        <v>7334019.14945058</v>
      </c>
      <c r="F16" s="71"/>
    </row>
    <row r="17" spans="2:6" s="65" customFormat="1" ht="16.5" customHeight="1">
      <c r="B17" s="93" t="s">
        <v>205</v>
      </c>
      <c r="C17" s="546" t="s">
        <v>92</v>
      </c>
      <c r="D17" s="535">
        <v>372845.30414</v>
      </c>
      <c r="E17" s="465">
        <f t="shared" si="0"/>
        <v>1379154.78001386</v>
      </c>
      <c r="F17" s="71"/>
    </row>
    <row r="18" spans="2:6" s="65" customFormat="1" ht="16.5" customHeight="1">
      <c r="B18" s="93" t="s">
        <v>192</v>
      </c>
      <c r="C18" s="546" t="s">
        <v>92</v>
      </c>
      <c r="D18" s="535">
        <v>17386.069900000002</v>
      </c>
      <c r="E18" s="465">
        <f t="shared" si="0"/>
        <v>64311.0725601</v>
      </c>
      <c r="F18" s="71"/>
    </row>
    <row r="19" spans="2:6" s="65" customFormat="1" ht="16.5" customHeight="1">
      <c r="B19" s="93" t="s">
        <v>249</v>
      </c>
      <c r="C19" s="546" t="s">
        <v>92</v>
      </c>
      <c r="D19" s="535">
        <v>16220.60016</v>
      </c>
      <c r="E19" s="465">
        <f t="shared" si="0"/>
        <v>59999.99999184</v>
      </c>
      <c r="F19" s="71"/>
    </row>
    <row r="20" spans="2:6" s="65" customFormat="1" ht="16.5" customHeight="1">
      <c r="B20" s="93" t="s">
        <v>167</v>
      </c>
      <c r="C20" s="546" t="s">
        <v>92</v>
      </c>
      <c r="D20" s="535">
        <v>12985.2345</v>
      </c>
      <c r="E20" s="465">
        <f t="shared" si="0"/>
        <v>48032.3824155</v>
      </c>
      <c r="F20" s="71"/>
    </row>
    <row r="21" spans="2:6" s="65" customFormat="1" ht="16.5" customHeight="1">
      <c r="B21" s="93" t="s">
        <v>123</v>
      </c>
      <c r="C21" s="546" t="s">
        <v>91</v>
      </c>
      <c r="D21" s="535">
        <v>12976.48016</v>
      </c>
      <c r="E21" s="465">
        <f t="shared" si="0"/>
        <v>48000.00011184</v>
      </c>
      <c r="F21" s="71"/>
    </row>
    <row r="22" spans="2:6" s="65" customFormat="1" ht="16.5" customHeight="1">
      <c r="B22" s="93" t="s">
        <v>193</v>
      </c>
      <c r="C22" s="546" t="s">
        <v>92</v>
      </c>
      <c r="D22" s="535">
        <v>10865.18365</v>
      </c>
      <c r="E22" s="465">
        <f t="shared" si="0"/>
        <v>40190.31432135</v>
      </c>
      <c r="F22" s="71"/>
    </row>
    <row r="23" spans="2:6" s="65" customFormat="1" ht="16.5" customHeight="1">
      <c r="B23" s="93" t="s">
        <v>166</v>
      </c>
      <c r="C23" s="546" t="s">
        <v>92</v>
      </c>
      <c r="D23" s="535">
        <v>9268.47762</v>
      </c>
      <c r="E23" s="465">
        <f t="shared" si="0"/>
        <v>34284.09871638</v>
      </c>
      <c r="F23" s="71"/>
    </row>
    <row r="24" spans="2:6" s="65" customFormat="1" ht="16.5" customHeight="1">
      <c r="B24" s="93" t="e">
        <f>#REF!</f>
        <v>#REF!</v>
      </c>
      <c r="C24" s="546" t="s">
        <v>92</v>
      </c>
      <c r="D24" s="535">
        <v>5406.86672</v>
      </c>
      <c r="E24" s="465">
        <f t="shared" si="0"/>
        <v>19999.99999728</v>
      </c>
      <c r="F24" s="71"/>
    </row>
    <row r="25" spans="2:6" s="65" customFormat="1" ht="16.5" customHeight="1">
      <c r="B25" s="93" t="s">
        <v>245</v>
      </c>
      <c r="C25" s="546" t="s">
        <v>92</v>
      </c>
      <c r="D25" s="535">
        <v>4055.15004</v>
      </c>
      <c r="E25" s="465">
        <f t="shared" si="0"/>
        <v>14999.99999796</v>
      </c>
      <c r="F25" s="71"/>
    </row>
    <row r="26" spans="2:6" s="65" customFormat="1" ht="16.5" customHeight="1">
      <c r="B26" s="93" t="s">
        <v>232</v>
      </c>
      <c r="C26" s="546" t="s">
        <v>92</v>
      </c>
      <c r="D26" s="535">
        <v>3255.0625</v>
      </c>
      <c r="E26" s="465">
        <f t="shared" si="0"/>
        <v>12040.4761875</v>
      </c>
      <c r="F26" s="71"/>
    </row>
    <row r="27" spans="2:6" s="65" customFormat="1" ht="16.5" customHeight="1">
      <c r="B27" s="66" t="s">
        <v>157</v>
      </c>
      <c r="C27" s="546" t="s">
        <v>92</v>
      </c>
      <c r="D27" s="535">
        <v>688.93746</v>
      </c>
      <c r="E27" s="465">
        <f t="shared" si="0"/>
        <v>2548.37966454</v>
      </c>
      <c r="F27" s="71"/>
    </row>
    <row r="28" spans="2:6" s="65" customFormat="1" ht="16.5" customHeight="1">
      <c r="B28" s="93" t="s">
        <v>241</v>
      </c>
      <c r="C28" s="546" t="s">
        <v>92</v>
      </c>
      <c r="D28" s="535">
        <v>540.68667</v>
      </c>
      <c r="E28" s="465">
        <f t="shared" si="0"/>
        <v>1999.99999233</v>
      </c>
      <c r="F28" s="71"/>
    </row>
    <row r="29" spans="2:6" s="65" customFormat="1" ht="12" customHeight="1">
      <c r="B29" s="93"/>
      <c r="C29" s="547"/>
      <c r="D29" s="535"/>
      <c r="E29" s="465"/>
      <c r="F29" s="71"/>
    </row>
    <row r="30" spans="2:7" s="65" customFormat="1" ht="16.5" customHeight="1">
      <c r="B30" s="367" t="s">
        <v>114</v>
      </c>
      <c r="C30" s="545"/>
      <c r="D30" s="519">
        <f>SUM(D31:D42)</f>
        <v>55336.435489999996</v>
      </c>
      <c r="E30" s="466">
        <f>SUM(E31:E42)</f>
        <v>204689.47487751002</v>
      </c>
      <c r="F30" s="91"/>
      <c r="G30" s="91"/>
    </row>
    <row r="31" spans="2:9" s="92" customFormat="1" ht="16.5" customHeight="1">
      <c r="B31" s="93" t="s">
        <v>196</v>
      </c>
      <c r="C31" s="546" t="s">
        <v>92</v>
      </c>
      <c r="D31" s="535">
        <v>31807.32483</v>
      </c>
      <c r="E31" s="465">
        <f>ROUND(D31*$F$9,8)</f>
        <v>117655.29454617</v>
      </c>
      <c r="F31" s="91"/>
      <c r="G31" s="91"/>
      <c r="H31" s="65"/>
      <c r="I31" s="65"/>
    </row>
    <row r="32" spans="2:9" s="92" customFormat="1" ht="16.5" customHeight="1">
      <c r="B32" s="93" t="s">
        <v>204</v>
      </c>
      <c r="C32" s="546" t="s">
        <v>92</v>
      </c>
      <c r="D32" s="535">
        <v>5154.136170000001</v>
      </c>
      <c r="E32" s="465">
        <f aca="true" t="shared" si="1" ref="E32:E42">ROUND(D32*$F$9,8)</f>
        <v>19065.14969283</v>
      </c>
      <c r="F32" s="91"/>
      <c r="G32" s="91"/>
      <c r="H32" s="65"/>
      <c r="I32" s="65"/>
    </row>
    <row r="33" spans="2:9" s="92" customFormat="1" ht="16.5" customHeight="1">
      <c r="B33" s="93" t="s">
        <v>194</v>
      </c>
      <c r="C33" s="546" t="s">
        <v>92</v>
      </c>
      <c r="D33" s="535">
        <v>4571.36547</v>
      </c>
      <c r="E33" s="465">
        <f t="shared" si="1"/>
        <v>16909.48087353</v>
      </c>
      <c r="F33" s="91"/>
      <c r="G33" s="91"/>
      <c r="H33" s="65"/>
      <c r="I33" s="65"/>
    </row>
    <row r="34" spans="2:9" s="92" customFormat="1" ht="16.5" customHeight="1">
      <c r="B34" s="66" t="s">
        <v>68</v>
      </c>
      <c r="C34" s="546" t="s">
        <v>92</v>
      </c>
      <c r="D34" s="535">
        <v>2838.0693300000003</v>
      </c>
      <c r="E34" s="465">
        <f t="shared" si="1"/>
        <v>10498.01845167</v>
      </c>
      <c r="F34" s="91"/>
      <c r="G34" s="91"/>
      <c r="H34" s="65"/>
      <c r="I34" s="65"/>
    </row>
    <row r="35" spans="2:9" s="92" customFormat="1" ht="16.5" customHeight="1">
      <c r="B35" s="66" t="s">
        <v>202</v>
      </c>
      <c r="C35" s="546" t="s">
        <v>92</v>
      </c>
      <c r="D35" s="535">
        <v>2779.9854</v>
      </c>
      <c r="E35" s="465">
        <f t="shared" si="1"/>
        <v>10283.1659946</v>
      </c>
      <c r="F35" s="91"/>
      <c r="G35" s="91"/>
      <c r="H35" s="65"/>
      <c r="I35" s="65"/>
    </row>
    <row r="36" spans="2:9" s="92" customFormat="1" ht="16.5" customHeight="1">
      <c r="B36" s="93" t="s">
        <v>195</v>
      </c>
      <c r="C36" s="546" t="s">
        <v>92</v>
      </c>
      <c r="D36" s="535">
        <v>2294.78004</v>
      </c>
      <c r="E36" s="465">
        <f t="shared" si="1"/>
        <v>8488.39136796</v>
      </c>
      <c r="F36" s="91"/>
      <c r="G36" s="91"/>
      <c r="H36" s="65"/>
      <c r="I36" s="65"/>
    </row>
    <row r="37" spans="2:9" s="92" customFormat="1" ht="16.5" customHeight="1">
      <c r="B37" s="66" t="s">
        <v>48</v>
      </c>
      <c r="C37" s="546" t="s">
        <v>92</v>
      </c>
      <c r="D37" s="535">
        <v>2030.85069</v>
      </c>
      <c r="E37" s="465">
        <f t="shared" si="1"/>
        <v>7512.11670231</v>
      </c>
      <c r="F37" s="91"/>
      <c r="G37" s="91"/>
      <c r="H37" s="65"/>
      <c r="I37" s="65"/>
    </row>
    <row r="38" spans="2:9" s="92" customFormat="1" ht="16.5" customHeight="1">
      <c r="B38" s="66" t="s">
        <v>43</v>
      </c>
      <c r="C38" s="546" t="s">
        <v>92</v>
      </c>
      <c r="D38" s="535">
        <v>1727.25377</v>
      </c>
      <c r="E38" s="465">
        <f t="shared" si="1"/>
        <v>6389.11169523</v>
      </c>
      <c r="F38" s="91"/>
      <c r="G38" s="91"/>
      <c r="H38" s="65"/>
      <c r="I38" s="65"/>
    </row>
    <row r="39" spans="2:9" s="92" customFormat="1" ht="16.5" customHeight="1">
      <c r="B39" s="66" t="s">
        <v>50</v>
      </c>
      <c r="C39" s="546" t="s">
        <v>92</v>
      </c>
      <c r="D39" s="535">
        <v>1158.64357</v>
      </c>
      <c r="E39" s="465">
        <f t="shared" si="1"/>
        <v>4285.82256543</v>
      </c>
      <c r="F39" s="91"/>
      <c r="G39" s="91"/>
      <c r="H39" s="65"/>
      <c r="I39" s="65"/>
    </row>
    <row r="40" spans="2:9" s="92" customFormat="1" ht="16.5" customHeight="1">
      <c r="B40" s="66" t="s">
        <v>203</v>
      </c>
      <c r="C40" s="546" t="s">
        <v>92</v>
      </c>
      <c r="D40" s="535">
        <v>435.54693</v>
      </c>
      <c r="E40" s="465">
        <f t="shared" si="1"/>
        <v>1611.08809407</v>
      </c>
      <c r="F40" s="91"/>
      <c r="G40" s="91"/>
      <c r="H40" s="65"/>
      <c r="I40" s="65"/>
    </row>
    <row r="41" spans="2:9" s="92" customFormat="1" ht="16.5" customHeight="1">
      <c r="B41" s="66" t="s">
        <v>224</v>
      </c>
      <c r="C41" s="546" t="s">
        <v>92</v>
      </c>
      <c r="D41" s="535">
        <v>399.12593</v>
      </c>
      <c r="E41" s="465">
        <f t="shared" si="1"/>
        <v>1476.36681507</v>
      </c>
      <c r="F41" s="91"/>
      <c r="G41" s="91"/>
      <c r="H41" s="65"/>
      <c r="I41" s="65"/>
    </row>
    <row r="42" spans="2:9" s="92" customFormat="1" ht="16.5" customHeight="1">
      <c r="B42" s="66" t="s">
        <v>42</v>
      </c>
      <c r="C42" s="546" t="s">
        <v>92</v>
      </c>
      <c r="D42" s="535">
        <v>139.35335999999998</v>
      </c>
      <c r="E42" s="465">
        <f t="shared" si="1"/>
        <v>515.46807864</v>
      </c>
      <c r="F42" s="91"/>
      <c r="G42" s="91"/>
      <c r="H42" s="65"/>
      <c r="I42" s="65"/>
    </row>
    <row r="43" spans="2:7" s="65" customFormat="1" ht="12" customHeight="1">
      <c r="B43" s="93"/>
      <c r="C43" s="547"/>
      <c r="D43" s="535"/>
      <c r="E43" s="465"/>
      <c r="F43" s="91"/>
      <c r="G43" s="91"/>
    </row>
    <row r="44" spans="2:9" s="92" customFormat="1" ht="16.5" customHeight="1">
      <c r="B44" s="367" t="s">
        <v>85</v>
      </c>
      <c r="C44" s="545"/>
      <c r="D44" s="519">
        <f>+D45</f>
        <v>4083333.33331</v>
      </c>
      <c r="E44" s="542">
        <f>+E45</f>
        <v>15104249.9999137</v>
      </c>
      <c r="F44" s="91"/>
      <c r="G44" s="91"/>
      <c r="H44" s="65"/>
      <c r="I44" s="65"/>
    </row>
    <row r="45" spans="2:9" s="92" customFormat="1" ht="16.5" customHeight="1">
      <c r="B45" s="93" t="s">
        <v>197</v>
      </c>
      <c r="C45" s="547" t="s">
        <v>92</v>
      </c>
      <c r="D45" s="535">
        <v>4083333.33331</v>
      </c>
      <c r="E45" s="465">
        <f>ROUND(D45*$F$9,8)</f>
        <v>15104249.9999137</v>
      </c>
      <c r="F45" s="91"/>
      <c r="G45" s="91"/>
      <c r="H45" s="65"/>
      <c r="I45" s="65"/>
    </row>
    <row r="46" spans="2:7" s="65" customFormat="1" ht="9.75" customHeight="1">
      <c r="B46" s="84"/>
      <c r="C46" s="85"/>
      <c r="D46" s="469"/>
      <c r="E46" s="468"/>
      <c r="F46" s="91"/>
      <c r="G46" s="440"/>
    </row>
    <row r="47" spans="2:9" s="81" customFormat="1" ht="15" customHeight="1">
      <c r="B47" s="622" t="s">
        <v>60</v>
      </c>
      <c r="C47" s="639"/>
      <c r="D47" s="641">
        <f>+D30+D14+D44</f>
        <v>8850420.134019997</v>
      </c>
      <c r="E47" s="617">
        <f>+E30+E14+E44</f>
        <v>32737704.07573999</v>
      </c>
      <c r="F47" s="91"/>
      <c r="G47" s="440"/>
      <c r="H47" s="65"/>
      <c r="I47" s="65"/>
    </row>
    <row r="48" spans="2:9" s="81" customFormat="1" ht="15" customHeight="1">
      <c r="B48" s="623"/>
      <c r="C48" s="640"/>
      <c r="D48" s="642"/>
      <c r="E48" s="618"/>
      <c r="F48" s="91"/>
      <c r="G48" s="440"/>
      <c r="H48" s="65"/>
      <c r="I48" s="65"/>
    </row>
    <row r="49" spans="2:9" ht="15">
      <c r="B49" s="141"/>
      <c r="C49" s="141"/>
      <c r="D49" s="507"/>
      <c r="E49" s="507"/>
      <c r="F49" s="91"/>
      <c r="G49" s="440"/>
      <c r="H49" s="65"/>
      <c r="I49" s="65"/>
    </row>
    <row r="50" spans="2:9" ht="15">
      <c r="B50" s="141"/>
      <c r="C50" s="141"/>
      <c r="D50" s="450"/>
      <c r="E50" s="418"/>
      <c r="F50" s="91"/>
      <c r="G50" s="440"/>
      <c r="H50" s="65"/>
      <c r="I50" s="65"/>
    </row>
    <row r="51" spans="2:9" ht="15">
      <c r="B51" s="141"/>
      <c r="C51" s="141"/>
      <c r="D51" s="419"/>
      <c r="E51" s="420"/>
      <c r="F51" s="91"/>
      <c r="G51" s="440"/>
      <c r="H51" s="65"/>
      <c r="I51" s="65"/>
    </row>
    <row r="52" spans="2:9" ht="15">
      <c r="B52" s="141"/>
      <c r="C52" s="420"/>
      <c r="D52" s="419"/>
      <c r="E52" s="420"/>
      <c r="F52" s="91"/>
      <c r="G52" s="440"/>
      <c r="H52" s="65"/>
      <c r="I52" s="65"/>
    </row>
    <row r="53" spans="2:9" ht="15">
      <c r="B53" s="141"/>
      <c r="C53" s="141"/>
      <c r="D53" s="421"/>
      <c r="E53" s="421"/>
      <c r="F53" s="91"/>
      <c r="G53" s="65"/>
      <c r="H53" s="65"/>
      <c r="I53" s="65"/>
    </row>
    <row r="54" spans="2:7" ht="18">
      <c r="B54" s="363" t="s">
        <v>119</v>
      </c>
      <c r="C54" s="363"/>
      <c r="D54" s="363"/>
      <c r="E54" s="363"/>
      <c r="F54" s="417"/>
      <c r="G54" s="440"/>
    </row>
    <row r="55" spans="2:7" s="89" customFormat="1" ht="18.75">
      <c r="B55" s="364" t="s">
        <v>135</v>
      </c>
      <c r="C55" s="364"/>
      <c r="D55" s="364"/>
      <c r="E55" s="364"/>
      <c r="F55" s="417"/>
      <c r="G55" s="440"/>
    </row>
    <row r="56" spans="2:7" s="89" customFormat="1" ht="18.75">
      <c r="B56" s="364" t="s">
        <v>136</v>
      </c>
      <c r="C56" s="364"/>
      <c r="D56" s="364"/>
      <c r="E56" s="257"/>
      <c r="F56" s="417"/>
      <c r="G56" s="65"/>
    </row>
    <row r="57" spans="2:7" s="89" customFormat="1" ht="18.75">
      <c r="B57" s="366" t="s">
        <v>57</v>
      </c>
      <c r="C57" s="365"/>
      <c r="D57" s="365"/>
      <c r="E57" s="365"/>
      <c r="F57" s="417"/>
      <c r="G57" s="65"/>
    </row>
    <row r="58" spans="2:7" s="89" customFormat="1" ht="18.75">
      <c r="B58" s="133" t="str">
        <f>+B9</f>
        <v>Al 31 de agosto de 2023</v>
      </c>
      <c r="C58" s="362"/>
      <c r="D58" s="256"/>
      <c r="E58" s="256"/>
      <c r="F58" s="417"/>
      <c r="G58" s="65"/>
    </row>
    <row r="59" spans="2:7" ht="6" customHeight="1">
      <c r="B59" s="643"/>
      <c r="C59" s="643"/>
      <c r="D59" s="643"/>
      <c r="E59" s="643"/>
      <c r="F59" s="417"/>
      <c r="G59" s="65"/>
    </row>
    <row r="60" spans="2:5" ht="18" customHeight="1">
      <c r="B60" s="625" t="s">
        <v>95</v>
      </c>
      <c r="C60" s="625" t="s">
        <v>26</v>
      </c>
      <c r="D60" s="636" t="s">
        <v>86</v>
      </c>
      <c r="E60" s="637" t="s">
        <v>163</v>
      </c>
    </row>
    <row r="61" spans="2:6" s="81" customFormat="1" ht="18" customHeight="1">
      <c r="B61" s="626"/>
      <c r="C61" s="626"/>
      <c r="D61" s="620"/>
      <c r="E61" s="638"/>
      <c r="F61" s="90"/>
    </row>
    <row r="62" spans="2:6" s="81" customFormat="1" ht="9.75" customHeight="1">
      <c r="B62" s="110"/>
      <c r="C62" s="255"/>
      <c r="D62" s="515"/>
      <c r="E62" s="140"/>
      <c r="F62" s="90"/>
    </row>
    <row r="63" spans="2:7" s="65" customFormat="1" ht="16.5" customHeight="1">
      <c r="B63" s="367" t="s">
        <v>84</v>
      </c>
      <c r="C63" s="368"/>
      <c r="D63" s="378">
        <f>SUM(D64:D72)</f>
        <v>356755.89651000005</v>
      </c>
      <c r="E63" s="466">
        <f>SUM(E64:E72)</f>
        <v>1319640.0611904901</v>
      </c>
      <c r="F63" s="71"/>
      <c r="G63" s="71"/>
    </row>
    <row r="64" spans="2:7" s="65" customFormat="1" ht="16.5" customHeight="1">
      <c r="B64" s="93" t="s">
        <v>193</v>
      </c>
      <c r="C64" s="83" t="s">
        <v>92</v>
      </c>
      <c r="D64" s="379">
        <v>101315.29826000003</v>
      </c>
      <c r="E64" s="465">
        <f>ROUND(D64*$F$9,8)</f>
        <v>374765.28826374</v>
      </c>
      <c r="F64" s="71"/>
      <c r="G64" s="71"/>
    </row>
    <row r="65" spans="2:7" s="65" customFormat="1" ht="16.5" customHeight="1">
      <c r="B65" s="93" t="s">
        <v>169</v>
      </c>
      <c r="C65" s="83" t="s">
        <v>92</v>
      </c>
      <c r="D65" s="379">
        <v>63246.57558999999</v>
      </c>
      <c r="E65" s="465">
        <f aca="true" t="shared" si="2" ref="E65:E72">ROUND(D65*$F$9,8)</f>
        <v>233949.08310741</v>
      </c>
      <c r="F65" s="71"/>
      <c r="G65" s="71"/>
    </row>
    <row r="66" spans="2:7" s="65" customFormat="1" ht="16.5" customHeight="1">
      <c r="B66" s="93" t="s">
        <v>250</v>
      </c>
      <c r="C66" s="83" t="s">
        <v>92</v>
      </c>
      <c r="D66" s="379">
        <v>56908.385550000006</v>
      </c>
      <c r="E66" s="465">
        <f t="shared" si="2"/>
        <v>210504.11814945</v>
      </c>
      <c r="F66" s="71"/>
      <c r="G66" s="71"/>
    </row>
    <row r="67" spans="2:7" s="65" customFormat="1" ht="16.5" customHeight="1">
      <c r="B67" s="93" t="s">
        <v>166</v>
      </c>
      <c r="C67" s="83" t="s">
        <v>92</v>
      </c>
      <c r="D67" s="379">
        <v>39740.47039</v>
      </c>
      <c r="E67" s="465">
        <f t="shared" si="2"/>
        <v>146999.99997261</v>
      </c>
      <c r="F67" s="71"/>
      <c r="G67" s="71"/>
    </row>
    <row r="68" spans="2:7" s="65" customFormat="1" ht="16.5" customHeight="1">
      <c r="B68" s="93" t="s">
        <v>226</v>
      </c>
      <c r="C68" s="83" t="s">
        <v>92</v>
      </c>
      <c r="D68" s="379">
        <v>34069.28663</v>
      </c>
      <c r="E68" s="465">
        <f t="shared" si="2"/>
        <v>126022.29124437</v>
      </c>
      <c r="F68" s="71"/>
      <c r="G68" s="71"/>
    </row>
    <row r="69" spans="2:7" s="65" customFormat="1" ht="16.5" customHeight="1">
      <c r="B69" s="93" t="s">
        <v>214</v>
      </c>
      <c r="C69" s="83" t="s">
        <v>92</v>
      </c>
      <c r="D69" s="379">
        <v>30697.291280000005</v>
      </c>
      <c r="E69" s="465">
        <f t="shared" si="2"/>
        <v>113549.28044472</v>
      </c>
      <c r="F69" s="71"/>
      <c r="G69" s="71"/>
    </row>
    <row r="70" spans="2:7" s="65" customFormat="1" ht="16.5" customHeight="1">
      <c r="B70" s="93" t="s">
        <v>191</v>
      </c>
      <c r="C70" s="83" t="s">
        <v>92</v>
      </c>
      <c r="D70" s="379">
        <v>25682.61692</v>
      </c>
      <c r="E70" s="465">
        <f t="shared" si="2"/>
        <v>94999.99998708</v>
      </c>
      <c r="F70" s="71"/>
      <c r="G70" s="71"/>
    </row>
    <row r="71" spans="2:7" s="65" customFormat="1" ht="16.5" customHeight="1">
      <c r="B71" s="93" t="s">
        <v>247</v>
      </c>
      <c r="C71" s="83" t="s">
        <v>92</v>
      </c>
      <c r="D71" s="379">
        <v>3203.56854</v>
      </c>
      <c r="E71" s="465">
        <f t="shared" si="2"/>
        <v>11850.00002946</v>
      </c>
      <c r="F71" s="71"/>
      <c r="G71" s="71"/>
    </row>
    <row r="72" spans="2:7" s="65" customFormat="1" ht="16.5" customHeight="1">
      <c r="B72" s="93" t="s">
        <v>251</v>
      </c>
      <c r="C72" s="83" t="s">
        <v>92</v>
      </c>
      <c r="D72" s="379">
        <v>1892.40335</v>
      </c>
      <c r="E72" s="465">
        <f t="shared" si="2"/>
        <v>6999.99999165</v>
      </c>
      <c r="F72" s="71"/>
      <c r="G72" s="71"/>
    </row>
    <row r="73" spans="2:7" s="65" customFormat="1" ht="12" customHeight="1">
      <c r="B73" s="70"/>
      <c r="C73" s="72"/>
      <c r="D73" s="386"/>
      <c r="E73" s="464"/>
      <c r="F73" s="71"/>
      <c r="G73" s="71"/>
    </row>
    <row r="74" spans="2:7" s="92" customFormat="1" ht="16.5" customHeight="1">
      <c r="B74" s="367" t="s">
        <v>158</v>
      </c>
      <c r="C74" s="72"/>
      <c r="D74" s="378">
        <f>+D75</f>
        <v>247957.0711</v>
      </c>
      <c r="E74" s="466">
        <f>+E75</f>
        <v>917193.2059989</v>
      </c>
      <c r="F74" s="71"/>
      <c r="G74" s="440"/>
    </row>
    <row r="75" spans="2:7" s="92" customFormat="1" ht="16.5" customHeight="1">
      <c r="B75" s="93" t="s">
        <v>197</v>
      </c>
      <c r="C75" s="83" t="s">
        <v>92</v>
      </c>
      <c r="D75" s="379">
        <v>247957.0711</v>
      </c>
      <c r="E75" s="465">
        <f>ROUND(D75*$F$9,8)</f>
        <v>917193.2059989</v>
      </c>
      <c r="F75" s="71"/>
      <c r="G75" s="440"/>
    </row>
    <row r="76" spans="2:7" s="65" customFormat="1" ht="9.75" customHeight="1">
      <c r="B76" s="84"/>
      <c r="C76" s="85"/>
      <c r="D76" s="468"/>
      <c r="E76" s="517"/>
      <c r="F76" s="71"/>
      <c r="G76" s="440"/>
    </row>
    <row r="77" spans="2:7" s="81" customFormat="1" ht="15" customHeight="1">
      <c r="B77" s="622" t="s">
        <v>60</v>
      </c>
      <c r="C77" s="639"/>
      <c r="D77" s="617">
        <f>+D63+D74</f>
        <v>604712.96761</v>
      </c>
      <c r="E77" s="634">
        <f>+E63+E74</f>
        <v>2236833.26718939</v>
      </c>
      <c r="F77" s="71"/>
      <c r="G77" s="440"/>
    </row>
    <row r="78" spans="2:6" s="81" customFormat="1" ht="15" customHeight="1">
      <c r="B78" s="623"/>
      <c r="C78" s="640"/>
      <c r="D78" s="618"/>
      <c r="E78" s="635"/>
      <c r="F78" s="90"/>
    </row>
    <row r="79" spans="4:5" ht="12.75">
      <c r="D79" s="192"/>
      <c r="E79" s="192"/>
    </row>
    <row r="80" spans="2:5" ht="15">
      <c r="B80" s="134"/>
      <c r="D80" s="369"/>
      <c r="E80" s="293"/>
    </row>
    <row r="81" spans="2:5" ht="15">
      <c r="B81" s="134"/>
      <c r="D81" s="369"/>
      <c r="E81" s="293"/>
    </row>
    <row r="82" spans="4:5" ht="12.75">
      <c r="D82" s="294"/>
      <c r="E82" s="294"/>
    </row>
    <row r="83" spans="4:5" ht="12.75">
      <c r="D83" s="244"/>
      <c r="E83" s="244"/>
    </row>
  </sheetData>
  <sheetProtection/>
  <mergeCells count="18">
    <mergeCell ref="B10:E10"/>
    <mergeCell ref="B11:B12"/>
    <mergeCell ref="C11:C12"/>
    <mergeCell ref="E11:E12"/>
    <mergeCell ref="D11:D12"/>
    <mergeCell ref="E77:E78"/>
    <mergeCell ref="B77:B78"/>
    <mergeCell ref="C77:C78"/>
    <mergeCell ref="D77:D78"/>
    <mergeCell ref="B59:E59"/>
    <mergeCell ref="B60:B61"/>
    <mergeCell ref="C60:C61"/>
    <mergeCell ref="D60:D61"/>
    <mergeCell ref="E60:E61"/>
    <mergeCell ref="B47:B48"/>
    <mergeCell ref="C47:C48"/>
    <mergeCell ref="D47:D48"/>
    <mergeCell ref="E47:E48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1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1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50"/>
      <c r="C1" s="650"/>
      <c r="D1" s="650"/>
      <c r="E1" s="650"/>
    </row>
    <row r="2" spans="2:5" s="136" customFormat="1" ht="18.75" customHeight="1">
      <c r="B2" s="650"/>
      <c r="C2" s="650"/>
      <c r="D2" s="650"/>
      <c r="E2" s="650"/>
    </row>
    <row r="3" spans="2:5" s="136" customFormat="1" ht="11.25" customHeight="1">
      <c r="B3" s="650"/>
      <c r="C3" s="650"/>
      <c r="D3" s="650"/>
      <c r="E3" s="650"/>
    </row>
    <row r="4" spans="2:11" s="136" customFormat="1" ht="15" customHeight="1">
      <c r="B4" s="650"/>
      <c r="C4" s="650"/>
      <c r="D4" s="650"/>
      <c r="E4" s="650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17" t="s">
        <v>135</v>
      </c>
      <c r="C6" s="317"/>
      <c r="D6" s="317"/>
      <c r="E6" s="317"/>
      <c r="F6" s="135"/>
      <c r="G6" s="132"/>
      <c r="H6" s="132"/>
      <c r="I6" s="132"/>
      <c r="J6" s="132"/>
      <c r="K6" s="132"/>
    </row>
    <row r="7" spans="2:11" ht="18">
      <c r="B7" s="317" t="s">
        <v>134</v>
      </c>
      <c r="C7" s="317"/>
      <c r="D7" s="317"/>
      <c r="E7" s="317"/>
      <c r="F7" s="135"/>
      <c r="G7" s="132"/>
      <c r="H7" s="132"/>
      <c r="I7" s="132"/>
      <c r="J7" s="132"/>
      <c r="K7" s="132"/>
    </row>
    <row r="8" spans="2:11" ht="16.5">
      <c r="B8" s="341" t="s">
        <v>104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31 de agosto de 2023</v>
      </c>
      <c r="C9" s="133"/>
      <c r="D9" s="133"/>
      <c r="E9" s="265"/>
      <c r="F9" s="370">
        <f>+Portada!H39</f>
        <v>3.699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392" t="s">
        <v>208</v>
      </c>
      <c r="C11" s="644" t="s">
        <v>100</v>
      </c>
      <c r="D11" s="646" t="s">
        <v>86</v>
      </c>
      <c r="E11" s="609" t="s">
        <v>163</v>
      </c>
      <c r="G11" s="132"/>
      <c r="H11" s="132"/>
      <c r="I11" s="132"/>
      <c r="J11" s="132"/>
      <c r="K11" s="132"/>
    </row>
    <row r="12" spans="2:11" s="81" customFormat="1" ht="16.5" customHeight="1">
      <c r="B12" s="391" t="s">
        <v>209</v>
      </c>
      <c r="C12" s="645"/>
      <c r="D12" s="647"/>
      <c r="E12" s="610"/>
      <c r="G12" s="166"/>
      <c r="H12" s="166"/>
      <c r="I12" s="166"/>
      <c r="J12" s="166"/>
      <c r="K12" s="166"/>
    </row>
    <row r="13" spans="2:11" s="81" customFormat="1" ht="9.75" customHeight="1">
      <c r="B13" s="264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0" t="s">
        <v>88</v>
      </c>
      <c r="C14" s="360"/>
      <c r="D14" s="378">
        <f>+D15+D18+D20+D22+D25</f>
        <v>4592187.3421600005</v>
      </c>
      <c r="E14" s="378">
        <f>+E15+E18+E20+E22+E25</f>
        <v>16986500.978639998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67">
        <f>SUM(D16:D17)</f>
        <v>1083333.33331</v>
      </c>
      <c r="E15" s="467">
        <f>SUM(E16:E17)</f>
        <v>4007249.99991</v>
      </c>
      <c r="G15" s="165"/>
      <c r="H15" s="165"/>
      <c r="I15" s="165"/>
      <c r="J15" s="165"/>
      <c r="K15" s="165"/>
    </row>
    <row r="16" spans="2:11" s="65" customFormat="1" ht="16.5" customHeight="1">
      <c r="B16" s="385" t="s">
        <v>227</v>
      </c>
      <c r="C16" s="74" t="s">
        <v>102</v>
      </c>
      <c r="D16" s="381">
        <v>1083333.33331</v>
      </c>
      <c r="E16" s="381">
        <f>ROUND(+D16*$F$9,5)</f>
        <v>4007249.99991</v>
      </c>
      <c r="G16" s="165"/>
      <c r="H16" s="165"/>
      <c r="I16" s="165"/>
      <c r="J16" s="165"/>
      <c r="K16" s="165"/>
    </row>
    <row r="17" spans="2:11" s="65" customFormat="1" ht="16.5" customHeight="1" hidden="1">
      <c r="B17" s="385" t="s">
        <v>186</v>
      </c>
      <c r="C17" s="74" t="s">
        <v>101</v>
      </c>
      <c r="D17" s="381">
        <v>0</v>
      </c>
      <c r="E17" s="381">
        <f>ROUND(+D17*$F$9,5)</f>
        <v>0</v>
      </c>
      <c r="G17" s="506"/>
      <c r="H17" s="165"/>
      <c r="I17" s="165"/>
      <c r="J17" s="165"/>
      <c r="K17" s="165"/>
    </row>
    <row r="18" spans="2:11" s="65" customFormat="1" ht="16.5" customHeight="1">
      <c r="B18" s="73" t="s">
        <v>124</v>
      </c>
      <c r="C18" s="74"/>
      <c r="D18" s="467">
        <f>+D19</f>
        <v>1522.62162</v>
      </c>
      <c r="E18" s="467">
        <f>+E19</f>
        <v>5632.17737</v>
      </c>
      <c r="G18" s="165"/>
      <c r="H18" s="165"/>
      <c r="I18" s="165"/>
      <c r="J18" s="165"/>
      <c r="K18" s="165"/>
    </row>
    <row r="19" spans="2:11" s="65" customFormat="1" ht="16.5" customHeight="1">
      <c r="B19" s="385" t="s">
        <v>183</v>
      </c>
      <c r="C19" s="74" t="s">
        <v>101</v>
      </c>
      <c r="D19" s="381">
        <v>1522.62162</v>
      </c>
      <c r="E19" s="381">
        <f aca="true" t="shared" si="0" ref="E19:E24">ROUND(+D19*$F$9,5)</f>
        <v>5632.17737</v>
      </c>
      <c r="G19" s="165"/>
      <c r="H19" s="165"/>
      <c r="I19" s="165"/>
      <c r="J19" s="165"/>
      <c r="K19" s="165"/>
    </row>
    <row r="20" spans="2:11" s="65" customFormat="1" ht="16.5" customHeight="1">
      <c r="B20" s="73" t="s">
        <v>74</v>
      </c>
      <c r="C20" s="74"/>
      <c r="D20" s="467">
        <f>+D21</f>
        <v>3000000</v>
      </c>
      <c r="E20" s="467">
        <f>+E21</f>
        <v>11097000</v>
      </c>
      <c r="G20" s="165"/>
      <c r="H20" s="165"/>
      <c r="I20" s="165"/>
      <c r="J20" s="165"/>
      <c r="K20" s="165"/>
    </row>
    <row r="21" spans="2:11" s="65" customFormat="1" ht="16.5" customHeight="1">
      <c r="B21" s="390" t="s">
        <v>220</v>
      </c>
      <c r="C21" s="74" t="s">
        <v>102</v>
      </c>
      <c r="D21" s="381">
        <v>3000000</v>
      </c>
      <c r="E21" s="381">
        <f>ROUND(+D21*$F$9,5)</f>
        <v>11097000</v>
      </c>
      <c r="G21" s="165"/>
      <c r="H21" s="165"/>
      <c r="I21" s="165"/>
      <c r="J21" s="165"/>
      <c r="K21" s="165"/>
    </row>
    <row r="22" spans="2:11" s="65" customFormat="1" ht="16.5" customHeight="1">
      <c r="B22" s="73" t="s">
        <v>87</v>
      </c>
      <c r="C22" s="73"/>
      <c r="D22" s="467">
        <f>SUM(D23:D24)</f>
        <v>427348.0554700001</v>
      </c>
      <c r="E22" s="467">
        <f>SUM(E23:E24)</f>
        <v>1580760.45718</v>
      </c>
      <c r="G22" s="165"/>
      <c r="H22" s="165"/>
      <c r="I22" s="165"/>
      <c r="J22" s="165"/>
      <c r="K22" s="165"/>
    </row>
    <row r="23" spans="2:11" s="65" customFormat="1" ht="16.5" customHeight="1">
      <c r="B23" s="385" t="s">
        <v>221</v>
      </c>
      <c r="C23" s="74" t="s">
        <v>101</v>
      </c>
      <c r="D23" s="543">
        <v>301677.70256000006</v>
      </c>
      <c r="E23" s="381">
        <f t="shared" si="0"/>
        <v>1115905.82177</v>
      </c>
      <c r="G23" s="165"/>
      <c r="H23" s="165"/>
      <c r="I23" s="165"/>
      <c r="J23" s="165"/>
      <c r="K23" s="165"/>
    </row>
    <row r="24" spans="2:11" s="65" customFormat="1" ht="16.5" customHeight="1">
      <c r="B24" s="385" t="s">
        <v>180</v>
      </c>
      <c r="C24" s="74" t="s">
        <v>101</v>
      </c>
      <c r="D24" s="381">
        <v>125670.35291</v>
      </c>
      <c r="E24" s="381">
        <f t="shared" si="0"/>
        <v>464854.63541</v>
      </c>
      <c r="G24" s="165"/>
      <c r="H24" s="165"/>
      <c r="I24" s="165"/>
      <c r="J24" s="165"/>
      <c r="K24" s="165"/>
    </row>
    <row r="25" spans="2:11" s="65" customFormat="1" ht="16.5" customHeight="1">
      <c r="B25" s="73" t="s">
        <v>36</v>
      </c>
      <c r="C25" s="74"/>
      <c r="D25" s="467">
        <f>SUM(D26:D27)</f>
        <v>79983.33175999999</v>
      </c>
      <c r="E25" s="467">
        <f>SUM(E26:E27)</f>
        <v>295858.34418</v>
      </c>
      <c r="G25" s="165"/>
      <c r="H25" s="165"/>
      <c r="I25" s="165"/>
      <c r="J25" s="165"/>
      <c r="K25" s="165"/>
    </row>
    <row r="26" spans="2:11" s="65" customFormat="1" ht="16.5" customHeight="1">
      <c r="B26" s="385" t="s">
        <v>0</v>
      </c>
      <c r="C26" s="74" t="s">
        <v>101</v>
      </c>
      <c r="D26" s="381">
        <v>79983.33175999999</v>
      </c>
      <c r="E26" s="381">
        <f>ROUND(+D26*$F$9,5)</f>
        <v>295858.34418</v>
      </c>
      <c r="G26" s="165"/>
      <c r="H26" s="165"/>
      <c r="I26" s="165"/>
      <c r="J26" s="165"/>
      <c r="K26" s="165"/>
    </row>
    <row r="27" spans="2:11" s="65" customFormat="1" ht="16.5" customHeight="1" hidden="1">
      <c r="B27" s="385" t="s">
        <v>181</v>
      </c>
      <c r="C27" s="74" t="s">
        <v>101</v>
      </c>
      <c r="D27" s="381">
        <v>0</v>
      </c>
      <c r="E27" s="381">
        <f>ROUND(+D27*$F$9,5)</f>
        <v>0</v>
      </c>
      <c r="G27" s="165"/>
      <c r="H27" s="165"/>
      <c r="I27" s="165"/>
      <c r="J27" s="165"/>
      <c r="K27" s="165"/>
    </row>
    <row r="28" spans="2:11" s="65" customFormat="1" ht="12" customHeight="1">
      <c r="B28" s="69"/>
      <c r="C28" s="74"/>
      <c r="D28" s="379"/>
      <c r="E28" s="379"/>
      <c r="G28" s="165"/>
      <c r="H28" s="165"/>
      <c r="I28" s="165"/>
      <c r="J28" s="165"/>
      <c r="K28" s="165"/>
    </row>
    <row r="29" spans="2:11" s="65" customFormat="1" ht="21.75" customHeight="1">
      <c r="B29" s="360" t="s">
        <v>89</v>
      </c>
      <c r="C29" s="68"/>
      <c r="D29" s="378">
        <f>+D30+D36+D38+D41+D43</f>
        <v>4258232.79186</v>
      </c>
      <c r="E29" s="378">
        <f>+E30+E36+E38+E41+E43</f>
        <v>15751203.0971</v>
      </c>
      <c r="F29" s="216"/>
      <c r="G29" s="416"/>
      <c r="H29" s="165"/>
      <c r="I29" s="165"/>
      <c r="J29" s="165"/>
      <c r="K29" s="165"/>
    </row>
    <row r="30" spans="2:6" s="65" customFormat="1" ht="16.5" customHeight="1">
      <c r="B30" s="73" t="s">
        <v>35</v>
      </c>
      <c r="C30" s="74"/>
      <c r="D30" s="467">
        <f>SUM(D31:D35)</f>
        <v>701304.79856</v>
      </c>
      <c r="E30" s="467">
        <f>SUM(E31:E35)</f>
        <v>2594126.44988</v>
      </c>
      <c r="F30" s="260"/>
    </row>
    <row r="31" spans="2:6" s="65" customFormat="1" ht="16.5" customHeight="1">
      <c r="B31" s="385" t="s">
        <v>246</v>
      </c>
      <c r="C31" s="74" t="s">
        <v>102</v>
      </c>
      <c r="D31" s="381">
        <v>589107.86699</v>
      </c>
      <c r="E31" s="381">
        <f>ROUND(+D31*$F$9,5)</f>
        <v>2179110</v>
      </c>
      <c r="F31" s="385"/>
    </row>
    <row r="32" spans="2:6" s="65" customFormat="1" ht="16.5" customHeight="1">
      <c r="B32" s="385" t="s">
        <v>184</v>
      </c>
      <c r="C32" s="74" t="s">
        <v>102</v>
      </c>
      <c r="D32" s="381">
        <v>65693.43066</v>
      </c>
      <c r="E32" s="381">
        <f>ROUND(+D32*$F$9,5)</f>
        <v>243000.00001</v>
      </c>
      <c r="F32" s="385"/>
    </row>
    <row r="33" spans="2:6" s="65" customFormat="1" ht="16.5" customHeight="1">
      <c r="B33" s="385" t="s">
        <v>186</v>
      </c>
      <c r="C33" s="74" t="s">
        <v>101</v>
      </c>
      <c r="D33" s="381">
        <v>27984.98239</v>
      </c>
      <c r="E33" s="381">
        <f>ROUND(+D33*$F$9,5)</f>
        <v>103516.44986</v>
      </c>
      <c r="F33" s="385"/>
    </row>
    <row r="34" spans="2:6" s="65" customFormat="1" ht="16.5" customHeight="1">
      <c r="B34" s="385" t="s">
        <v>156</v>
      </c>
      <c r="C34" s="74" t="s">
        <v>101</v>
      </c>
      <c r="D34" s="381">
        <v>18518.51852</v>
      </c>
      <c r="E34" s="381">
        <f>ROUND(+D34*$F$9,5)</f>
        <v>68500.00001</v>
      </c>
      <c r="F34" s="385"/>
    </row>
    <row r="35" spans="2:6" s="65" customFormat="1" ht="16.5" customHeight="1" hidden="1">
      <c r="B35" s="385" t="s">
        <v>182</v>
      </c>
      <c r="C35" s="74" t="s">
        <v>101</v>
      </c>
      <c r="D35" s="381">
        <v>0</v>
      </c>
      <c r="E35" s="381">
        <f>ROUND(+D35*$F$9,5)</f>
        <v>0</v>
      </c>
      <c r="F35" s="385"/>
    </row>
    <row r="36" spans="2:6" s="65" customFormat="1" ht="16.5" customHeight="1">
      <c r="B36" s="73" t="s">
        <v>124</v>
      </c>
      <c r="C36" s="74"/>
      <c r="D36" s="467">
        <f>+D37</f>
        <v>292531.01441999996</v>
      </c>
      <c r="E36" s="467">
        <f>+E37</f>
        <v>1082072.22234</v>
      </c>
      <c r="F36" s="260"/>
    </row>
    <row r="37" spans="2:7" s="65" customFormat="1" ht="16.5" customHeight="1">
      <c r="B37" s="385" t="s">
        <v>183</v>
      </c>
      <c r="C37" s="74" t="s">
        <v>101</v>
      </c>
      <c r="D37" s="381">
        <v>292531.01441999996</v>
      </c>
      <c r="E37" s="381">
        <f>ROUND(+D37*$F$9,5)</f>
        <v>1082072.22234</v>
      </c>
      <c r="G37" s="351"/>
    </row>
    <row r="38" spans="2:5" s="65" customFormat="1" ht="16.5" customHeight="1">
      <c r="B38" s="73" t="s">
        <v>74</v>
      </c>
      <c r="C38" s="74"/>
      <c r="D38" s="467">
        <f>SUM(D39:D40)</f>
        <v>2714248.84347</v>
      </c>
      <c r="E38" s="467">
        <f>SUM(E39:E40)</f>
        <v>10040006.472000001</v>
      </c>
    </row>
    <row r="39" spans="2:5" s="65" customFormat="1" ht="16.5" customHeight="1">
      <c r="B39" s="390" t="s">
        <v>222</v>
      </c>
      <c r="C39" s="74" t="s">
        <v>102</v>
      </c>
      <c r="D39" s="381">
        <v>2172063.00406</v>
      </c>
      <c r="E39" s="381">
        <f>ROUND(+D39*$F$9,5)</f>
        <v>8034461.05202</v>
      </c>
    </row>
    <row r="40" spans="2:5" s="65" customFormat="1" ht="16.5" customHeight="1">
      <c r="B40" s="390" t="s">
        <v>223</v>
      </c>
      <c r="C40" s="74" t="s">
        <v>101</v>
      </c>
      <c r="D40" s="381">
        <v>542185.83941</v>
      </c>
      <c r="E40" s="381">
        <f>ROUND(+D40*$F$9,5)</f>
        <v>2005545.41998</v>
      </c>
    </row>
    <row r="41" spans="2:5" s="65" customFormat="1" ht="16.5" customHeight="1">
      <c r="B41" s="73" t="s">
        <v>87</v>
      </c>
      <c r="C41" s="73"/>
      <c r="D41" s="467">
        <f>+D42</f>
        <v>20374.23055</v>
      </c>
      <c r="E41" s="467">
        <f>+E42</f>
        <v>75364.2788</v>
      </c>
    </row>
    <row r="42" spans="2:5" s="65" customFormat="1" ht="16.5" customHeight="1">
      <c r="B42" s="385" t="s">
        <v>221</v>
      </c>
      <c r="C42" s="74" t="s">
        <v>101</v>
      </c>
      <c r="D42" s="543">
        <v>20374.23055</v>
      </c>
      <c r="E42" s="381">
        <f>ROUND(+D42*$F$9,5)</f>
        <v>75364.2788</v>
      </c>
    </row>
    <row r="43" spans="2:5" s="65" customFormat="1" ht="16.5" customHeight="1">
      <c r="B43" s="73" t="s">
        <v>36</v>
      </c>
      <c r="C43" s="74"/>
      <c r="D43" s="467">
        <f>SUM(D44:D48)</f>
        <v>529773.9048600001</v>
      </c>
      <c r="E43" s="467">
        <f>SUM(E44:E48)</f>
        <v>1959633.67408</v>
      </c>
    </row>
    <row r="44" spans="2:5" s="65" customFormat="1" ht="16.5" customHeight="1">
      <c r="B44" s="385" t="s">
        <v>228</v>
      </c>
      <c r="C44" s="74" t="s">
        <v>102</v>
      </c>
      <c r="D44" s="381">
        <v>274925.60916000005</v>
      </c>
      <c r="E44" s="381">
        <f>ROUND(+D44*$F$9,5)</f>
        <v>1016949.82828</v>
      </c>
    </row>
    <row r="45" spans="2:7" s="65" customFormat="1" ht="16.5" customHeight="1">
      <c r="B45" s="385" t="s">
        <v>165</v>
      </c>
      <c r="C45" s="74" t="s">
        <v>102</v>
      </c>
      <c r="D45" s="381">
        <v>198356.31256</v>
      </c>
      <c r="E45" s="381">
        <f>ROUND(+D45*$F$9,5)</f>
        <v>733720.00016</v>
      </c>
      <c r="G45" s="490"/>
    </row>
    <row r="46" spans="2:7" s="65" customFormat="1" ht="16.5" customHeight="1">
      <c r="B46" s="385" t="s">
        <v>229</v>
      </c>
      <c r="C46" s="74" t="s">
        <v>102</v>
      </c>
      <c r="D46" s="381">
        <v>38557.693</v>
      </c>
      <c r="E46" s="381">
        <f>ROUND(+D46*$F$9,5)</f>
        <v>142624.90641</v>
      </c>
      <c r="G46" s="490"/>
    </row>
    <row r="47" spans="2:7" s="65" customFormat="1" ht="16.5" customHeight="1">
      <c r="B47" s="385" t="s">
        <v>206</v>
      </c>
      <c r="C47" s="74" t="s">
        <v>101</v>
      </c>
      <c r="D47" s="381">
        <v>12976.48016</v>
      </c>
      <c r="E47" s="381">
        <f>ROUND(+D47*$F$9,5)</f>
        <v>48000.00011</v>
      </c>
      <c r="G47" s="490"/>
    </row>
    <row r="48" spans="2:8" s="65" customFormat="1" ht="16.5" customHeight="1">
      <c r="B48" s="385" t="s">
        <v>177</v>
      </c>
      <c r="C48" s="74" t="s">
        <v>102</v>
      </c>
      <c r="D48" s="381">
        <v>4957.80998</v>
      </c>
      <c r="E48" s="381">
        <f>ROUND(+D48*$F$9,5)</f>
        <v>18338.93912</v>
      </c>
      <c r="H48" s="359"/>
    </row>
    <row r="49" spans="2:5" s="65" customFormat="1" ht="9.75" customHeight="1">
      <c r="B49" s="143"/>
      <c r="C49" s="144"/>
      <c r="D49" s="468"/>
      <c r="E49" s="468"/>
    </row>
    <row r="50" spans="2:5" s="81" customFormat="1" ht="15" customHeight="1">
      <c r="B50" s="649" t="s">
        <v>99</v>
      </c>
      <c r="C50" s="145"/>
      <c r="D50" s="655">
        <f>+D29+D14</f>
        <v>8850420.13402</v>
      </c>
      <c r="E50" s="617">
        <f>+E29+E14</f>
        <v>32737704.07574</v>
      </c>
    </row>
    <row r="51" spans="2:5" s="81" customFormat="1" ht="15" customHeight="1">
      <c r="B51" s="623"/>
      <c r="C51" s="146"/>
      <c r="D51" s="618"/>
      <c r="E51" s="618"/>
    </row>
    <row r="52" spans="2:5" ht="6" customHeight="1">
      <c r="B52" s="147"/>
      <c r="C52" s="147"/>
      <c r="D52" s="97"/>
      <c r="E52" s="97"/>
    </row>
    <row r="53" spans="2:5" ht="14.25" customHeight="1">
      <c r="B53" s="86" t="s">
        <v>242</v>
      </c>
      <c r="C53" s="86"/>
      <c r="D53" s="508"/>
      <c r="E53" s="65"/>
    </row>
    <row r="54" spans="2:5" ht="14.25" customHeight="1">
      <c r="B54" s="86" t="s">
        <v>219</v>
      </c>
      <c r="C54" s="86"/>
      <c r="D54" s="86"/>
      <c r="E54" s="65"/>
    </row>
    <row r="55" spans="2:5" ht="14.25" customHeight="1">
      <c r="B55" s="544" t="s">
        <v>258</v>
      </c>
      <c r="C55" s="86"/>
      <c r="D55" s="169"/>
      <c r="E55" s="65"/>
    </row>
    <row r="56" spans="2:5" ht="14.25" customHeight="1">
      <c r="B56" s="544" t="s">
        <v>259</v>
      </c>
      <c r="C56" s="86"/>
      <c r="D56" s="86"/>
      <c r="E56" s="210"/>
    </row>
    <row r="57" spans="2:5" ht="12.75">
      <c r="B57" s="451"/>
      <c r="C57" s="86"/>
      <c r="D57" s="86"/>
      <c r="E57" s="210"/>
    </row>
    <row r="58" spans="4:6" ht="15">
      <c r="D58" s="388"/>
      <c r="F58" s="213"/>
    </row>
    <row r="59" spans="2:5" ht="12.75">
      <c r="B59" s="86"/>
      <c r="D59" s="245"/>
      <c r="E59" s="245"/>
    </row>
    <row r="60" spans="2:5" ht="12.75">
      <c r="B60" s="86"/>
      <c r="D60" s="245"/>
      <c r="E60" s="245"/>
    </row>
    <row r="61" ht="12.75">
      <c r="D61" s="98"/>
    </row>
    <row r="62" spans="2:5" s="136" customFormat="1" ht="18">
      <c r="B62" s="95" t="s">
        <v>120</v>
      </c>
      <c r="C62" s="95"/>
      <c r="D62" s="95"/>
      <c r="E62" s="95"/>
    </row>
    <row r="63" spans="2:6" s="136" customFormat="1" ht="18">
      <c r="B63" s="648" t="s">
        <v>135</v>
      </c>
      <c r="C63" s="648"/>
      <c r="D63" s="648"/>
      <c r="E63" s="648"/>
      <c r="F63" s="135"/>
    </row>
    <row r="64" spans="2:6" s="136" customFormat="1" ht="18">
      <c r="B64" s="648" t="s">
        <v>136</v>
      </c>
      <c r="C64" s="648"/>
      <c r="D64" s="648"/>
      <c r="E64" s="648"/>
      <c r="F64" s="135"/>
    </row>
    <row r="65" spans="2:5" ht="16.5">
      <c r="B65" s="654" t="s">
        <v>104</v>
      </c>
      <c r="C65" s="654"/>
      <c r="D65" s="654"/>
      <c r="E65" s="654"/>
    </row>
    <row r="66" spans="2:5" ht="15.75">
      <c r="B66" s="621" t="str">
        <f>+B9</f>
        <v>Al 31 de agosto de 2023</v>
      </c>
      <c r="C66" s="621"/>
      <c r="D66" s="621"/>
      <c r="E66" s="527"/>
    </row>
    <row r="67" spans="2:5" ht="9.75" customHeight="1">
      <c r="B67" s="184"/>
      <c r="C67" s="184"/>
      <c r="D67" s="184"/>
      <c r="E67" s="184"/>
    </row>
    <row r="68" spans="2:5" ht="16.5" customHeight="1">
      <c r="B68" s="392" t="s">
        <v>208</v>
      </c>
      <c r="C68" s="644" t="s">
        <v>100</v>
      </c>
      <c r="D68" s="646" t="s">
        <v>86</v>
      </c>
      <c r="E68" s="609" t="s">
        <v>163</v>
      </c>
    </row>
    <row r="69" spans="2:5" s="81" customFormat="1" ht="16.5" customHeight="1">
      <c r="B69" s="391" t="s">
        <v>209</v>
      </c>
      <c r="C69" s="645"/>
      <c r="D69" s="647"/>
      <c r="E69" s="610"/>
    </row>
    <row r="70" spans="2:5" s="81" customFormat="1" ht="9.75" customHeight="1">
      <c r="B70" s="526"/>
      <c r="C70" s="142"/>
      <c r="D70" s="96"/>
      <c r="E70" s="96"/>
    </row>
    <row r="71" spans="2:5" s="81" customFormat="1" ht="16.5">
      <c r="B71" s="360" t="s">
        <v>233</v>
      </c>
      <c r="C71" s="360"/>
      <c r="D71" s="393">
        <f>+D72</f>
        <v>0</v>
      </c>
      <c r="E71" s="393">
        <f>+E72</f>
        <v>0</v>
      </c>
    </row>
    <row r="72" spans="2:5" s="81" customFormat="1" ht="16.5" hidden="1">
      <c r="B72" s="73" t="s">
        <v>35</v>
      </c>
      <c r="C72" s="73"/>
      <c r="D72" s="394">
        <f>SUM(D73:D73)</f>
        <v>0</v>
      </c>
      <c r="E72" s="394">
        <f>SUM(E73:E73)</f>
        <v>0</v>
      </c>
    </row>
    <row r="73" spans="2:5" s="81" customFormat="1" ht="16.5" hidden="1">
      <c r="B73" s="385"/>
      <c r="C73" s="74"/>
      <c r="D73" s="422">
        <v>0</v>
      </c>
      <c r="E73" s="389">
        <f>ROUND(+D73*$F$9,5)</f>
        <v>0</v>
      </c>
    </row>
    <row r="74" spans="2:5" s="81" customFormat="1" ht="12" customHeight="1">
      <c r="B74" s="142"/>
      <c r="C74" s="142"/>
      <c r="D74" s="96"/>
      <c r="E74" s="96"/>
    </row>
    <row r="75" spans="2:5" s="65" customFormat="1" ht="16.5" customHeight="1">
      <c r="B75" s="360" t="s">
        <v>231</v>
      </c>
      <c r="C75" s="360"/>
      <c r="D75" s="393">
        <f>+D76+D85+D87</f>
        <v>604712.96761</v>
      </c>
      <c r="E75" s="393">
        <f>+E76+E85+E87</f>
        <v>2236833.26719</v>
      </c>
    </row>
    <row r="76" spans="2:5" s="65" customFormat="1" ht="16.5" customHeight="1">
      <c r="B76" s="73" t="s">
        <v>35</v>
      </c>
      <c r="C76" s="73"/>
      <c r="D76" s="394">
        <f>SUM(D77:D84)</f>
        <v>517054.1409200001</v>
      </c>
      <c r="E76" s="394">
        <f>SUM(E77:E84)</f>
        <v>1912583.2672599999</v>
      </c>
    </row>
    <row r="77" spans="2:5" s="65" customFormat="1" ht="16.5" customHeight="1">
      <c r="B77" s="385" t="s">
        <v>185</v>
      </c>
      <c r="C77" s="74" t="s">
        <v>101</v>
      </c>
      <c r="D77" s="422">
        <v>153780.30086000008</v>
      </c>
      <c r="E77" s="389">
        <f aca="true" t="shared" si="1" ref="E77:E84">ROUND(+D77*$F$9,5)</f>
        <v>568833.33288</v>
      </c>
    </row>
    <row r="78" spans="2:5" s="65" customFormat="1" ht="16.5" customHeight="1">
      <c r="B78" s="385" t="s">
        <v>244</v>
      </c>
      <c r="C78" s="74" t="s">
        <v>102</v>
      </c>
      <c r="D78" s="422">
        <v>97457.0711</v>
      </c>
      <c r="E78" s="389">
        <f t="shared" si="1"/>
        <v>360493.706</v>
      </c>
    </row>
    <row r="79" spans="2:5" s="65" customFormat="1" ht="16.5" customHeight="1">
      <c r="B79" s="385" t="s">
        <v>254</v>
      </c>
      <c r="C79" s="74" t="s">
        <v>102</v>
      </c>
      <c r="D79" s="422">
        <v>85000</v>
      </c>
      <c r="E79" s="389">
        <f t="shared" si="1"/>
        <v>314415</v>
      </c>
    </row>
    <row r="80" spans="2:5" s="65" customFormat="1" ht="16.5" customHeight="1">
      <c r="B80" s="385" t="s">
        <v>186</v>
      </c>
      <c r="C80" s="74" t="s">
        <v>101</v>
      </c>
      <c r="D80" s="422">
        <v>82133.19190999998</v>
      </c>
      <c r="E80" s="389">
        <f t="shared" si="1"/>
        <v>303810.67688</v>
      </c>
    </row>
    <row r="81" spans="2:5" s="65" customFormat="1" ht="16.5" customHeight="1">
      <c r="B81" s="385" t="s">
        <v>156</v>
      </c>
      <c r="C81" s="74" t="s">
        <v>101</v>
      </c>
      <c r="D81" s="422">
        <v>51731.77886</v>
      </c>
      <c r="E81" s="389">
        <f t="shared" si="1"/>
        <v>191355.85</v>
      </c>
    </row>
    <row r="82" spans="2:5" s="65" customFormat="1" ht="16.5" customHeight="1">
      <c r="B82" s="385" t="s">
        <v>182</v>
      </c>
      <c r="C82" s="74" t="s">
        <v>101</v>
      </c>
      <c r="D82" s="422">
        <v>23451.798189999998</v>
      </c>
      <c r="E82" s="389">
        <f t="shared" si="1"/>
        <v>86748.2015</v>
      </c>
    </row>
    <row r="83" spans="2:5" s="65" customFormat="1" ht="16.5" customHeight="1">
      <c r="B83" s="385" t="s">
        <v>246</v>
      </c>
      <c r="C83" s="74" t="s">
        <v>102</v>
      </c>
      <c r="D83" s="422">
        <v>20000</v>
      </c>
      <c r="E83" s="389">
        <f t="shared" si="1"/>
        <v>73980</v>
      </c>
    </row>
    <row r="84" spans="2:5" s="65" customFormat="1" ht="16.5" customHeight="1">
      <c r="B84" s="385" t="s">
        <v>260</v>
      </c>
      <c r="C84" s="74" t="s">
        <v>101</v>
      </c>
      <c r="D84" s="422">
        <v>3500</v>
      </c>
      <c r="E84" s="389">
        <f t="shared" si="1"/>
        <v>12946.5</v>
      </c>
    </row>
    <row r="85" spans="2:5" s="65" customFormat="1" ht="16.5" customHeight="1">
      <c r="B85" s="73" t="s">
        <v>124</v>
      </c>
      <c r="C85" s="75"/>
      <c r="D85" s="394">
        <f>+D86</f>
        <v>87658.82669</v>
      </c>
      <c r="E85" s="394">
        <f>+E86</f>
        <v>324249.99993</v>
      </c>
    </row>
    <row r="86" spans="2:5" s="65" customFormat="1" ht="16.5" customHeight="1">
      <c r="B86" s="385" t="s">
        <v>183</v>
      </c>
      <c r="C86" s="74" t="s">
        <v>101</v>
      </c>
      <c r="D86" s="422">
        <v>87658.82669</v>
      </c>
      <c r="E86" s="389">
        <f>ROUND(+D86*$F$9,5)</f>
        <v>324249.99993</v>
      </c>
    </row>
    <row r="87" spans="2:5" s="65" customFormat="1" ht="16.5" customHeight="1">
      <c r="B87" s="73" t="s">
        <v>36</v>
      </c>
      <c r="C87" s="74"/>
      <c r="D87" s="394">
        <f>SUM(D88:D88)</f>
        <v>0</v>
      </c>
      <c r="E87" s="394">
        <f>SUM(E88:E88)</f>
        <v>0</v>
      </c>
    </row>
    <row r="88" spans="2:5" s="65" customFormat="1" ht="16.5" customHeight="1" hidden="1">
      <c r="B88" s="385" t="s">
        <v>0</v>
      </c>
      <c r="C88" s="74" t="s">
        <v>101</v>
      </c>
      <c r="D88" s="422">
        <v>0</v>
      </c>
      <c r="E88" s="389">
        <f>ROUND(+D88*$F$9,5)</f>
        <v>0</v>
      </c>
    </row>
    <row r="89" spans="2:9" s="65" customFormat="1" ht="9.75" customHeight="1">
      <c r="B89" s="143"/>
      <c r="C89" s="143"/>
      <c r="D89" s="395"/>
      <c r="E89" s="395"/>
      <c r="G89" s="440"/>
      <c r="H89" s="440"/>
      <c r="I89" s="440"/>
    </row>
    <row r="90" spans="2:7" s="81" customFormat="1" ht="15" customHeight="1">
      <c r="B90" s="622" t="s">
        <v>99</v>
      </c>
      <c r="C90" s="145"/>
      <c r="D90" s="651">
        <f>+D71+D75</f>
        <v>604712.96761</v>
      </c>
      <c r="E90" s="653">
        <f>+E71+E75</f>
        <v>2236833.26719</v>
      </c>
      <c r="G90" s="65"/>
    </row>
    <row r="91" spans="2:7" s="81" customFormat="1" ht="15" customHeight="1">
      <c r="B91" s="623"/>
      <c r="C91" s="146"/>
      <c r="D91" s="652"/>
      <c r="E91" s="652"/>
      <c r="G91" s="65"/>
    </row>
    <row r="92" spans="2:7" ht="7.5" customHeight="1">
      <c r="B92" s="147"/>
      <c r="C92" s="147"/>
      <c r="D92" s="97"/>
      <c r="E92" s="97"/>
      <c r="G92" s="65"/>
    </row>
    <row r="93" spans="4:7" ht="14.25">
      <c r="D93" s="431"/>
      <c r="E93" s="431"/>
      <c r="G93" s="65"/>
    </row>
    <row r="94" spans="4:7" ht="14.25">
      <c r="D94" s="246"/>
      <c r="G94" s="65"/>
    </row>
    <row r="95" spans="4:7" ht="14.25">
      <c r="D95" s="98"/>
      <c r="E95" s="98"/>
      <c r="G95" s="65"/>
    </row>
    <row r="96" ht="14.25">
      <c r="G96" s="65"/>
    </row>
    <row r="97" ht="14.25">
      <c r="G97" s="65"/>
    </row>
    <row r="98" ht="14.25">
      <c r="G98" s="65"/>
    </row>
    <row r="99" ht="14.25">
      <c r="G99" s="65"/>
    </row>
    <row r="100" ht="14.25">
      <c r="G100" s="65"/>
    </row>
    <row r="101" ht="14.25">
      <c r="G101" s="65"/>
    </row>
  </sheetData>
  <sheetProtection/>
  <mergeCells count="20">
    <mergeCell ref="B1:E1"/>
    <mergeCell ref="B2:E2"/>
    <mergeCell ref="B3:E3"/>
    <mergeCell ref="B4:E4"/>
    <mergeCell ref="E11:E12"/>
    <mergeCell ref="B90:B91"/>
    <mergeCell ref="D90:D91"/>
    <mergeCell ref="E90:E91"/>
    <mergeCell ref="B65:E65"/>
    <mergeCell ref="D50:D51"/>
    <mergeCell ref="C68:C69"/>
    <mergeCell ref="C11:C12"/>
    <mergeCell ref="D11:D12"/>
    <mergeCell ref="B66:D66"/>
    <mergeCell ref="E50:E51"/>
    <mergeCell ref="B63:E63"/>
    <mergeCell ref="B50:B51"/>
    <mergeCell ref="D68:D69"/>
    <mergeCell ref="B64:E64"/>
    <mergeCell ref="E68:E69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8:E43 E36 E18:E26 E16 E85 E87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103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24.75" customHeight="1">
      <c r="B4" s="148"/>
      <c r="P4" s="195"/>
    </row>
    <row r="5" spans="2:16" ht="18">
      <c r="B5" s="371" t="s">
        <v>16</v>
      </c>
      <c r="C5" s="371"/>
      <c r="D5" s="371"/>
      <c r="P5" s="195"/>
    </row>
    <row r="6" spans="2:16" ht="18">
      <c r="B6" s="372" t="s">
        <v>135</v>
      </c>
      <c r="C6" s="372"/>
      <c r="D6" s="372"/>
      <c r="P6" s="195"/>
    </row>
    <row r="7" spans="2:16" ht="18">
      <c r="B7" s="372" t="s">
        <v>134</v>
      </c>
      <c r="C7" s="372"/>
      <c r="D7" s="372"/>
      <c r="E7" s="295"/>
      <c r="P7" s="195"/>
    </row>
    <row r="8" spans="2:16" ht="16.5">
      <c r="B8" s="376" t="s">
        <v>58</v>
      </c>
      <c r="C8" s="373"/>
      <c r="D8" s="373"/>
      <c r="P8" s="195"/>
    </row>
    <row r="9" spans="2:16" ht="15.75">
      <c r="B9" s="374" t="str">
        <f>+'DEP-C2'!B9</f>
        <v>Al 31 de agosto de 2023</v>
      </c>
      <c r="C9" s="374"/>
      <c r="D9" s="296"/>
      <c r="E9" s="375">
        <f>+Portada!H39</f>
        <v>3.699</v>
      </c>
      <c r="P9" s="195"/>
    </row>
    <row r="10" spans="2:16" s="77" customFormat="1" ht="9.75" customHeight="1">
      <c r="B10" s="563"/>
      <c r="C10" s="563"/>
      <c r="D10" s="563"/>
      <c r="E10" s="211"/>
      <c r="P10" s="196"/>
    </row>
    <row r="11" spans="2:16" ht="16.5" customHeight="1">
      <c r="B11" s="574" t="s">
        <v>96</v>
      </c>
      <c r="C11" s="656" t="s">
        <v>86</v>
      </c>
      <c r="D11" s="658" t="s">
        <v>163</v>
      </c>
      <c r="P11" s="195"/>
    </row>
    <row r="12" spans="2:16" s="111" customFormat="1" ht="16.5" customHeight="1">
      <c r="B12" s="575"/>
      <c r="C12" s="657"/>
      <c r="D12" s="659"/>
      <c r="E12" s="212"/>
      <c r="P12" s="197"/>
    </row>
    <row r="13" spans="2:16" s="111" customFormat="1" ht="9.75" customHeight="1">
      <c r="B13" s="149"/>
      <c r="C13" s="536"/>
      <c r="D13" s="112"/>
      <c r="E13" s="212"/>
      <c r="P13" s="197"/>
    </row>
    <row r="14" spans="2:16" s="77" customFormat="1" ht="19.5" customHeight="1">
      <c r="B14" s="79" t="s">
        <v>198</v>
      </c>
      <c r="C14" s="518">
        <f>+C16+C34</f>
        <v>8528368.200909998</v>
      </c>
      <c r="D14" s="518">
        <f>+D16+D34</f>
        <v>31546433.975179996</v>
      </c>
      <c r="E14" s="247"/>
      <c r="F14" s="382"/>
      <c r="G14" s="297"/>
      <c r="H14" s="297"/>
      <c r="P14" s="196"/>
    </row>
    <row r="15" spans="2:16" s="77" customFormat="1" ht="9.75" customHeight="1">
      <c r="B15" s="79"/>
      <c r="C15" s="519"/>
      <c r="D15" s="518"/>
      <c r="E15" s="247"/>
      <c r="F15" s="383"/>
      <c r="G15" s="297"/>
      <c r="H15" s="297"/>
      <c r="P15" s="196"/>
    </row>
    <row r="16" spans="2:16" s="77" customFormat="1" ht="16.5" customHeight="1">
      <c r="B16" s="78" t="s">
        <v>65</v>
      </c>
      <c r="C16" s="519">
        <f>SUM(C17:C32)</f>
        <v>4290509.639599999</v>
      </c>
      <c r="D16" s="519">
        <f>SUM(D17:D32)</f>
        <v>15870595.156889997</v>
      </c>
      <c r="E16" s="454"/>
      <c r="F16" s="454"/>
      <c r="P16" s="196"/>
    </row>
    <row r="17" spans="2:16" s="77" customFormat="1" ht="16.5" customHeight="1">
      <c r="B17" s="540" t="s">
        <v>197</v>
      </c>
      <c r="C17" s="534">
        <v>4083333.33331</v>
      </c>
      <c r="D17" s="535">
        <f aca="true" t="shared" si="0" ref="D17:D32">ROUND(+C17*$E$9,5)</f>
        <v>15104249.99991</v>
      </c>
      <c r="E17" s="454"/>
      <c r="F17" s="454"/>
      <c r="P17" s="196"/>
    </row>
    <row r="18" spans="2:16" s="77" customFormat="1" ht="16.5" customHeight="1">
      <c r="B18" s="540" t="s">
        <v>205</v>
      </c>
      <c r="C18" s="534">
        <v>81393.47559</v>
      </c>
      <c r="D18" s="535">
        <f t="shared" si="0"/>
        <v>301074.46621</v>
      </c>
      <c r="E18" s="454"/>
      <c r="F18" s="454"/>
      <c r="P18" s="196"/>
    </row>
    <row r="19" spans="2:16" s="77" customFormat="1" ht="16.5" customHeight="1">
      <c r="B19" s="540" t="s">
        <v>196</v>
      </c>
      <c r="C19" s="534">
        <v>31807.32483</v>
      </c>
      <c r="D19" s="535">
        <f t="shared" si="0"/>
        <v>117655.29455</v>
      </c>
      <c r="E19" s="454"/>
      <c r="F19" s="454"/>
      <c r="P19" s="196"/>
    </row>
    <row r="20" spans="2:16" s="77" customFormat="1" ht="16.5" customHeight="1">
      <c r="B20" s="540" t="s">
        <v>192</v>
      </c>
      <c r="C20" s="534">
        <v>17386.069900000002</v>
      </c>
      <c r="D20" s="535">
        <f t="shared" si="0"/>
        <v>64311.07256</v>
      </c>
      <c r="E20" s="454"/>
      <c r="F20" s="454"/>
      <c r="P20" s="196"/>
    </row>
    <row r="21" spans="2:16" s="77" customFormat="1" ht="16.5" customHeight="1">
      <c r="B21" s="540" t="s">
        <v>249</v>
      </c>
      <c r="C21" s="534">
        <v>16220.60016</v>
      </c>
      <c r="D21" s="535">
        <f t="shared" si="0"/>
        <v>59999.99999</v>
      </c>
      <c r="E21" s="454"/>
      <c r="F21" s="454"/>
      <c r="P21" s="196"/>
    </row>
    <row r="22" spans="2:16" s="77" customFormat="1" ht="16.5" customHeight="1">
      <c r="B22" s="540" t="s">
        <v>167</v>
      </c>
      <c r="C22" s="534">
        <v>12985.2345</v>
      </c>
      <c r="D22" s="535">
        <f t="shared" si="0"/>
        <v>48032.38242</v>
      </c>
      <c r="E22" s="454"/>
      <c r="F22" s="454"/>
      <c r="P22" s="196"/>
    </row>
    <row r="23" spans="2:16" s="77" customFormat="1" ht="16.5" customHeight="1">
      <c r="B23" s="540" t="s">
        <v>193</v>
      </c>
      <c r="C23" s="534">
        <v>10865.18365</v>
      </c>
      <c r="D23" s="535">
        <f t="shared" si="0"/>
        <v>40190.31432</v>
      </c>
      <c r="E23" s="454"/>
      <c r="F23" s="454"/>
      <c r="P23" s="196"/>
    </row>
    <row r="24" spans="2:16" s="77" customFormat="1" ht="16.5" customHeight="1">
      <c r="B24" s="540" t="s">
        <v>166</v>
      </c>
      <c r="C24" s="534">
        <v>9268.47762</v>
      </c>
      <c r="D24" s="535">
        <f t="shared" si="0"/>
        <v>34284.09872</v>
      </c>
      <c r="E24" s="454"/>
      <c r="F24" s="454"/>
      <c r="P24" s="196"/>
    </row>
    <row r="25" spans="2:16" s="77" customFormat="1" ht="16.5" customHeight="1">
      <c r="B25" s="540" t="s">
        <v>255</v>
      </c>
      <c r="C25" s="534">
        <v>5406.86672</v>
      </c>
      <c r="D25" s="535">
        <f t="shared" si="0"/>
        <v>20000</v>
      </c>
      <c r="E25" s="454"/>
      <c r="F25" s="454"/>
      <c r="P25" s="196"/>
    </row>
    <row r="26" spans="2:16" s="77" customFormat="1" ht="16.5" customHeight="1">
      <c r="B26" s="540" t="s">
        <v>204</v>
      </c>
      <c r="C26" s="534">
        <v>5095.17791</v>
      </c>
      <c r="D26" s="535">
        <f t="shared" si="0"/>
        <v>18847.06309</v>
      </c>
      <c r="E26" s="454"/>
      <c r="F26" s="454"/>
      <c r="P26" s="196"/>
    </row>
    <row r="27" spans="2:16" s="77" customFormat="1" ht="16.5" customHeight="1">
      <c r="B27" s="540" t="s">
        <v>194</v>
      </c>
      <c r="C27" s="534">
        <v>4571.36547</v>
      </c>
      <c r="D27" s="535">
        <f t="shared" si="0"/>
        <v>16909.48087</v>
      </c>
      <c r="E27" s="454"/>
      <c r="F27" s="454"/>
      <c r="P27" s="196"/>
    </row>
    <row r="28" spans="2:16" s="77" customFormat="1" ht="16.5" customHeight="1">
      <c r="B28" s="540" t="s">
        <v>245</v>
      </c>
      <c r="C28" s="534">
        <v>4055.15004</v>
      </c>
      <c r="D28" s="535">
        <f t="shared" si="0"/>
        <v>15000</v>
      </c>
      <c r="E28" s="454"/>
      <c r="F28" s="454"/>
      <c r="P28" s="196"/>
    </row>
    <row r="29" spans="2:16" s="77" customFormat="1" ht="16.5" customHeight="1">
      <c r="B29" s="540" t="s">
        <v>232</v>
      </c>
      <c r="C29" s="534">
        <v>3255.0625</v>
      </c>
      <c r="D29" s="535">
        <f t="shared" si="0"/>
        <v>12040.47619</v>
      </c>
      <c r="E29" s="454"/>
      <c r="F29" s="454"/>
      <c r="P29" s="196"/>
    </row>
    <row r="30" spans="2:16" s="77" customFormat="1" ht="16.5" customHeight="1">
      <c r="B30" s="540" t="s">
        <v>195</v>
      </c>
      <c r="C30" s="534">
        <v>2294.78004</v>
      </c>
      <c r="D30" s="535">
        <f t="shared" si="0"/>
        <v>8488.39137</v>
      </c>
      <c r="E30" s="454"/>
      <c r="F30" s="454"/>
      <c r="P30" s="196"/>
    </row>
    <row r="31" spans="2:16" s="77" customFormat="1" ht="16.5" customHeight="1">
      <c r="B31" s="540" t="s">
        <v>48</v>
      </c>
      <c r="C31" s="534">
        <v>2030.85069</v>
      </c>
      <c r="D31" s="535">
        <f t="shared" si="0"/>
        <v>7512.1167</v>
      </c>
      <c r="E31" s="454"/>
      <c r="F31" s="454"/>
      <c r="P31" s="196"/>
    </row>
    <row r="32" spans="2:16" s="77" customFormat="1" ht="16.5" customHeight="1">
      <c r="B32" s="540" t="s">
        <v>241</v>
      </c>
      <c r="C32" s="534">
        <v>540.68667</v>
      </c>
      <c r="D32" s="535">
        <f t="shared" si="0"/>
        <v>1999.99999</v>
      </c>
      <c r="E32" s="454"/>
      <c r="F32" s="454"/>
      <c r="P32" s="196"/>
    </row>
    <row r="33" spans="2:16" s="77" customFormat="1" ht="12" customHeight="1">
      <c r="B33" s="298"/>
      <c r="C33" s="520"/>
      <c r="D33" s="520"/>
      <c r="E33" s="454"/>
      <c r="F33" s="454"/>
      <c r="P33" s="196"/>
    </row>
    <row r="34" spans="2:16" s="77" customFormat="1" ht="16.5" customHeight="1">
      <c r="B34" s="78" t="s">
        <v>25</v>
      </c>
      <c r="C34" s="519">
        <f>SUM(C35:C37)</f>
        <v>4237858.561309999</v>
      </c>
      <c r="D34" s="519">
        <f>+SUM(D35:D37)</f>
        <v>15675838.818289999</v>
      </c>
      <c r="E34" s="454"/>
      <c r="F34" s="454"/>
      <c r="P34" s="196"/>
    </row>
    <row r="35" spans="2:16" s="77" customFormat="1" ht="16.5" customHeight="1">
      <c r="B35" s="377" t="s">
        <v>168</v>
      </c>
      <c r="C35" s="534">
        <v>2262553.108279999</v>
      </c>
      <c r="D35" s="535">
        <f>ROUND(+C35*$E$9,5)</f>
        <v>8369183.94753</v>
      </c>
      <c r="E35" s="454"/>
      <c r="F35" s="454"/>
      <c r="P35" s="196"/>
    </row>
    <row r="36" spans="2:16" s="77" customFormat="1" ht="16.5" customHeight="1">
      <c r="B36" s="533" t="s">
        <v>206</v>
      </c>
      <c r="C36" s="534">
        <v>1962328.9728699997</v>
      </c>
      <c r="D36" s="535">
        <f>ROUND(+C36*$E$9,5)</f>
        <v>7258654.87065</v>
      </c>
      <c r="E36" s="247"/>
      <c r="F36" s="384"/>
      <c r="P36" s="196"/>
    </row>
    <row r="37" spans="2:16" s="77" customFormat="1" ht="16.5" customHeight="1">
      <c r="B37" s="533" t="s">
        <v>123</v>
      </c>
      <c r="C37" s="534">
        <v>12976.48016</v>
      </c>
      <c r="D37" s="535">
        <f>ROUND(+C37*$E$9,5)</f>
        <v>48000.00011</v>
      </c>
      <c r="E37" s="247"/>
      <c r="F37" s="384"/>
      <c r="P37" s="196"/>
    </row>
    <row r="38" spans="2:16" s="77" customFormat="1" ht="15" customHeight="1">
      <c r="B38" s="298"/>
      <c r="C38" s="521"/>
      <c r="D38" s="521"/>
      <c r="E38" s="247"/>
      <c r="F38" s="384"/>
      <c r="P38" s="196"/>
    </row>
    <row r="39" spans="2:16" s="77" customFormat="1" ht="19.5" customHeight="1">
      <c r="B39" s="79" t="s">
        <v>199</v>
      </c>
      <c r="C39" s="518">
        <f>+C41+C53</f>
        <v>322051.93311000004</v>
      </c>
      <c r="D39" s="518">
        <f>+D41+D53</f>
        <v>1191270.1005700002</v>
      </c>
      <c r="E39" s="247"/>
      <c r="F39" s="384"/>
      <c r="P39" s="196"/>
    </row>
    <row r="40" spans="2:16" s="77" customFormat="1" ht="9.75" customHeight="1">
      <c r="B40" s="79"/>
      <c r="C40" s="518"/>
      <c r="D40" s="518"/>
      <c r="E40" s="247"/>
      <c r="F40" s="384"/>
      <c r="P40" s="196"/>
    </row>
    <row r="41" spans="2:16" s="77" customFormat="1" ht="16.5" customHeight="1">
      <c r="B41" s="78" t="s">
        <v>24</v>
      </c>
      <c r="C41" s="519">
        <f>SUM(C42:C51)</f>
        <v>301677.70256000006</v>
      </c>
      <c r="D41" s="519">
        <f>SUM(D42:D51)</f>
        <v>1115905.8217700003</v>
      </c>
      <c r="E41" s="247"/>
      <c r="F41" s="247"/>
      <c r="P41" s="196"/>
    </row>
    <row r="42" spans="2:16" s="77" customFormat="1" ht="16.5" customHeight="1">
      <c r="B42" s="540" t="s">
        <v>205</v>
      </c>
      <c r="C42" s="534">
        <v>291451.82855000003</v>
      </c>
      <c r="D42" s="535">
        <f aca="true" t="shared" si="1" ref="D42:D51">ROUND(+C42*$E$9,5)</f>
        <v>1078080.31381</v>
      </c>
      <c r="E42" s="247"/>
      <c r="F42" s="247"/>
      <c r="P42" s="196"/>
    </row>
    <row r="43" spans="2:16" s="77" customFormat="1" ht="16.5" customHeight="1">
      <c r="B43" s="342" t="s">
        <v>68</v>
      </c>
      <c r="C43" s="534">
        <v>2838.0693300000003</v>
      </c>
      <c r="D43" s="535">
        <f t="shared" si="1"/>
        <v>10498.01845</v>
      </c>
      <c r="E43" s="247"/>
      <c r="F43" s="247"/>
      <c r="P43" s="196"/>
    </row>
    <row r="44" spans="2:16" s="77" customFormat="1" ht="16.5" customHeight="1">
      <c r="B44" s="342" t="s">
        <v>202</v>
      </c>
      <c r="C44" s="534">
        <v>2779.9854</v>
      </c>
      <c r="D44" s="535">
        <f t="shared" si="1"/>
        <v>10283.16599</v>
      </c>
      <c r="E44" s="247"/>
      <c r="F44" s="247"/>
      <c r="P44" s="196"/>
    </row>
    <row r="45" spans="2:16" s="77" customFormat="1" ht="16.5" customHeight="1">
      <c r="B45" s="342" t="s">
        <v>43</v>
      </c>
      <c r="C45" s="534">
        <v>1727.25377</v>
      </c>
      <c r="D45" s="535">
        <f t="shared" si="1"/>
        <v>6389.1117</v>
      </c>
      <c r="E45" s="247"/>
      <c r="F45" s="247"/>
      <c r="P45" s="196"/>
    </row>
    <row r="46" spans="2:16" s="77" customFormat="1" ht="16.5" customHeight="1">
      <c r="B46" s="342" t="s">
        <v>50</v>
      </c>
      <c r="C46" s="534">
        <v>1158.64357</v>
      </c>
      <c r="D46" s="535">
        <f t="shared" si="1"/>
        <v>4285.82257</v>
      </c>
      <c r="E46" s="247"/>
      <c r="F46" s="247"/>
      <c r="P46" s="196"/>
    </row>
    <row r="47" spans="2:16" s="77" customFormat="1" ht="16.5" customHeight="1">
      <c r="B47" s="342" t="s">
        <v>157</v>
      </c>
      <c r="C47" s="534">
        <v>688.93746</v>
      </c>
      <c r="D47" s="535">
        <f t="shared" si="1"/>
        <v>2548.37966</v>
      </c>
      <c r="E47" s="247"/>
      <c r="F47" s="247"/>
      <c r="P47" s="196"/>
    </row>
    <row r="48" spans="2:16" s="77" customFormat="1" ht="16.5" customHeight="1">
      <c r="B48" s="342" t="s">
        <v>203</v>
      </c>
      <c r="C48" s="534">
        <v>435.54693</v>
      </c>
      <c r="D48" s="535">
        <f t="shared" si="1"/>
        <v>1611.08809</v>
      </c>
      <c r="E48" s="247"/>
      <c r="F48" s="247"/>
      <c r="P48" s="196"/>
    </row>
    <row r="49" spans="2:16" s="77" customFormat="1" ht="16.5" customHeight="1">
      <c r="B49" s="342" t="s">
        <v>224</v>
      </c>
      <c r="C49" s="534">
        <v>399.12593</v>
      </c>
      <c r="D49" s="535">
        <f t="shared" si="1"/>
        <v>1476.36682</v>
      </c>
      <c r="E49" s="247"/>
      <c r="F49" s="247"/>
      <c r="P49" s="196"/>
    </row>
    <row r="50" spans="2:16" s="77" customFormat="1" ht="16.5" customHeight="1">
      <c r="B50" s="342" t="s">
        <v>42</v>
      </c>
      <c r="C50" s="534">
        <v>139.35335999999998</v>
      </c>
      <c r="D50" s="535">
        <f t="shared" si="1"/>
        <v>515.46808</v>
      </c>
      <c r="E50" s="247"/>
      <c r="F50" s="247"/>
      <c r="P50" s="196"/>
    </row>
    <row r="51" spans="2:16" s="77" customFormat="1" ht="16.5" customHeight="1">
      <c r="B51" s="342" t="s">
        <v>204</v>
      </c>
      <c r="C51" s="534">
        <v>58.95826</v>
      </c>
      <c r="D51" s="535">
        <f t="shared" si="1"/>
        <v>218.0866</v>
      </c>
      <c r="E51" s="247"/>
      <c r="F51" s="247"/>
      <c r="P51" s="196"/>
    </row>
    <row r="52" spans="2:16" s="77" customFormat="1" ht="12" customHeight="1">
      <c r="B52" s="385"/>
      <c r="C52" s="520"/>
      <c r="D52" s="520"/>
      <c r="E52" s="247"/>
      <c r="F52" s="247"/>
      <c r="G52" s="442"/>
      <c r="P52" s="196"/>
    </row>
    <row r="53" spans="2:16" s="77" customFormat="1" ht="16.5" customHeight="1">
      <c r="B53" s="78" t="s">
        <v>25</v>
      </c>
      <c r="C53" s="519">
        <f>+C54</f>
        <v>20374.23055</v>
      </c>
      <c r="D53" s="519">
        <f>+D54</f>
        <v>75364.2788</v>
      </c>
      <c r="E53" s="247"/>
      <c r="F53" s="441"/>
      <c r="P53" s="196"/>
    </row>
    <row r="54" spans="2:16" s="77" customFormat="1" ht="16.5" customHeight="1">
      <c r="B54" s="377" t="s">
        <v>206</v>
      </c>
      <c r="C54" s="534">
        <v>20374.23055</v>
      </c>
      <c r="D54" s="535">
        <f>ROUND(+C54*$E$9,5)</f>
        <v>75364.2788</v>
      </c>
      <c r="E54" s="247"/>
      <c r="F54" s="384"/>
      <c r="P54" s="196"/>
    </row>
    <row r="55" spans="2:16" s="77" customFormat="1" ht="9.75" customHeight="1">
      <c r="B55" s="76"/>
      <c r="C55" s="522"/>
      <c r="D55" s="522"/>
      <c r="E55" s="247"/>
      <c r="F55" s="384"/>
      <c r="P55" s="196"/>
    </row>
    <row r="56" spans="2:16" s="77" customFormat="1" ht="18" customHeight="1" hidden="1">
      <c r="B56" s="150"/>
      <c r="C56" s="535"/>
      <c r="D56" s="535"/>
      <c r="E56" s="247"/>
      <c r="F56" s="384"/>
      <c r="P56" s="196"/>
    </row>
    <row r="57" spans="2:16" s="77" customFormat="1" ht="21.75" customHeight="1" hidden="1">
      <c r="B57" s="79" t="s">
        <v>111</v>
      </c>
      <c r="C57" s="518">
        <f>+C58</f>
        <v>0</v>
      </c>
      <c r="D57" s="518">
        <f>+D58</f>
        <v>0</v>
      </c>
      <c r="E57" s="247"/>
      <c r="F57" s="384"/>
      <c r="H57" s="299"/>
      <c r="P57" s="196"/>
    </row>
    <row r="58" spans="2:16" s="77" customFormat="1" ht="21.75" customHeight="1" hidden="1">
      <c r="B58" s="76" t="s">
        <v>65</v>
      </c>
      <c r="C58" s="522">
        <f>+C59</f>
        <v>0</v>
      </c>
      <c r="D58" s="522">
        <f>+D59</f>
        <v>0</v>
      </c>
      <c r="E58" s="247"/>
      <c r="F58" s="384"/>
      <c r="H58" s="299"/>
      <c r="P58" s="196"/>
    </row>
    <row r="59" spans="2:16" s="77" customFormat="1" ht="21.75" customHeight="1" hidden="1">
      <c r="B59" s="298" t="s">
        <v>108</v>
      </c>
      <c r="C59" s="520">
        <v>0</v>
      </c>
      <c r="D59" s="520">
        <f>+C59*$E$9</f>
        <v>0</v>
      </c>
      <c r="E59" s="247"/>
      <c r="F59" s="384"/>
      <c r="H59" s="299"/>
      <c r="P59" s="196"/>
    </row>
    <row r="60" spans="2:16" s="77" customFormat="1" ht="19.5" customHeight="1" hidden="1">
      <c r="B60" s="150"/>
      <c r="C60" s="535"/>
      <c r="D60" s="535"/>
      <c r="E60" s="247"/>
      <c r="F60" s="384"/>
      <c r="P60" s="196"/>
    </row>
    <row r="61" spans="2:16" s="77" customFormat="1" ht="21.75" customHeight="1" hidden="1">
      <c r="B61" s="79" t="s">
        <v>137</v>
      </c>
      <c r="C61" s="518">
        <f>+C62+C86</f>
        <v>0</v>
      </c>
      <c r="D61" s="518">
        <f>+D62+D86</f>
        <v>0</v>
      </c>
      <c r="E61" s="247"/>
      <c r="F61" s="384"/>
      <c r="P61" s="196"/>
    </row>
    <row r="62" spans="2:16" s="77" customFormat="1" ht="21.75" customHeight="1" hidden="1">
      <c r="B62" s="78" t="s">
        <v>24</v>
      </c>
      <c r="C62" s="519">
        <f>SUM(C63:C84)</f>
        <v>0</v>
      </c>
      <c r="D62" s="519">
        <f>SUM(D63:D84)</f>
        <v>0</v>
      </c>
      <c r="E62" s="247"/>
      <c r="F62" s="384"/>
      <c r="P62" s="196"/>
    </row>
    <row r="63" spans="2:16" s="77" customFormat="1" ht="21.75" customHeight="1" hidden="1">
      <c r="B63" s="298" t="s">
        <v>107</v>
      </c>
      <c r="C63" s="520"/>
      <c r="D63" s="520">
        <f aca="true" t="shared" si="2" ref="D63:D84">+C63*$E$9</f>
        <v>0</v>
      </c>
      <c r="E63" s="247"/>
      <c r="F63" s="384"/>
      <c r="P63" s="196"/>
    </row>
    <row r="64" spans="2:16" s="77" customFormat="1" ht="21.75" customHeight="1" hidden="1">
      <c r="B64" s="298" t="s">
        <v>38</v>
      </c>
      <c r="C64" s="520"/>
      <c r="D64" s="520">
        <f t="shared" si="2"/>
        <v>0</v>
      </c>
      <c r="E64" s="247"/>
      <c r="F64" s="384"/>
      <c r="P64" s="196"/>
    </row>
    <row r="65" spans="2:16" s="77" customFormat="1" ht="21.75" customHeight="1" hidden="1">
      <c r="B65" s="298" t="s">
        <v>39</v>
      </c>
      <c r="C65" s="520"/>
      <c r="D65" s="520">
        <f t="shared" si="2"/>
        <v>0</v>
      </c>
      <c r="E65" s="247"/>
      <c r="F65" s="384"/>
      <c r="P65" s="196"/>
    </row>
    <row r="66" spans="2:16" s="77" customFormat="1" ht="21.75" customHeight="1" hidden="1">
      <c r="B66" s="298" t="s">
        <v>41</v>
      </c>
      <c r="C66" s="520"/>
      <c r="D66" s="520">
        <f t="shared" si="2"/>
        <v>0</v>
      </c>
      <c r="E66" s="247"/>
      <c r="F66" s="384"/>
      <c r="P66" s="196"/>
    </row>
    <row r="67" spans="2:16" s="77" customFormat="1" ht="21.75" customHeight="1" hidden="1">
      <c r="B67" s="298" t="s">
        <v>144</v>
      </c>
      <c r="C67" s="520"/>
      <c r="D67" s="520">
        <f t="shared" si="2"/>
        <v>0</v>
      </c>
      <c r="E67" s="247"/>
      <c r="F67" s="384"/>
      <c r="P67" s="196"/>
    </row>
    <row r="68" spans="2:16" s="77" customFormat="1" ht="21.75" customHeight="1" hidden="1">
      <c r="B68" s="298" t="s">
        <v>40</v>
      </c>
      <c r="C68" s="520"/>
      <c r="D68" s="520">
        <f t="shared" si="2"/>
        <v>0</v>
      </c>
      <c r="E68" s="247"/>
      <c r="F68" s="384"/>
      <c r="P68" s="196"/>
    </row>
    <row r="69" spans="2:16" s="77" customFormat="1" ht="21.75" customHeight="1" hidden="1">
      <c r="B69" s="298" t="s">
        <v>44</v>
      </c>
      <c r="C69" s="520"/>
      <c r="D69" s="520">
        <f t="shared" si="2"/>
        <v>0</v>
      </c>
      <c r="E69" s="247"/>
      <c r="F69" s="384"/>
      <c r="P69" s="196"/>
    </row>
    <row r="70" spans="2:16" s="77" customFormat="1" ht="21.75" customHeight="1" hidden="1">
      <c r="B70" s="298" t="s">
        <v>68</v>
      </c>
      <c r="C70" s="520"/>
      <c r="D70" s="520">
        <f t="shared" si="2"/>
        <v>0</v>
      </c>
      <c r="E70" s="247"/>
      <c r="F70" s="384"/>
      <c r="P70" s="196"/>
    </row>
    <row r="71" spans="2:16" s="77" customFormat="1" ht="21.75" customHeight="1" hidden="1">
      <c r="B71" s="298" t="s">
        <v>46</v>
      </c>
      <c r="C71" s="520"/>
      <c r="D71" s="520">
        <f t="shared" si="2"/>
        <v>0</v>
      </c>
      <c r="E71" s="247"/>
      <c r="F71" s="384"/>
      <c r="P71" s="196"/>
    </row>
    <row r="72" spans="2:16" s="77" customFormat="1" ht="21.75" customHeight="1" hidden="1">
      <c r="B72" s="298" t="s">
        <v>42</v>
      </c>
      <c r="C72" s="520"/>
      <c r="D72" s="520">
        <f t="shared" si="2"/>
        <v>0</v>
      </c>
      <c r="E72" s="247"/>
      <c r="F72" s="384"/>
      <c r="P72" s="196"/>
    </row>
    <row r="73" spans="2:16" s="77" customFormat="1" ht="21.75" customHeight="1" hidden="1">
      <c r="B73" s="298" t="s">
        <v>43</v>
      </c>
      <c r="C73" s="520"/>
      <c r="D73" s="520">
        <f t="shared" si="2"/>
        <v>0</v>
      </c>
      <c r="E73" s="247"/>
      <c r="F73" s="384"/>
      <c r="P73" s="196"/>
    </row>
    <row r="74" spans="2:16" s="77" customFormat="1" ht="21.75" customHeight="1" hidden="1">
      <c r="B74" s="298" t="s">
        <v>47</v>
      </c>
      <c r="C74" s="520"/>
      <c r="D74" s="520">
        <f t="shared" si="2"/>
        <v>0</v>
      </c>
      <c r="E74" s="247"/>
      <c r="F74" s="384"/>
      <c r="P74" s="196"/>
    </row>
    <row r="75" spans="2:16" s="77" customFormat="1" ht="21.75" customHeight="1" hidden="1">
      <c r="B75" s="298" t="s">
        <v>50</v>
      </c>
      <c r="C75" s="520"/>
      <c r="D75" s="520">
        <f t="shared" si="2"/>
        <v>0</v>
      </c>
      <c r="E75" s="247"/>
      <c r="F75" s="384"/>
      <c r="P75" s="196"/>
    </row>
    <row r="76" spans="2:16" s="77" customFormat="1" ht="21.75" customHeight="1" hidden="1">
      <c r="B76" s="298" t="s">
        <v>157</v>
      </c>
      <c r="C76" s="520"/>
      <c r="D76" s="520">
        <f t="shared" si="2"/>
        <v>0</v>
      </c>
      <c r="E76" s="247"/>
      <c r="F76" s="384"/>
      <c r="P76" s="196"/>
    </row>
    <row r="77" spans="2:16" s="77" customFormat="1" ht="21.75" customHeight="1" hidden="1">
      <c r="B77" s="298" t="s">
        <v>52</v>
      </c>
      <c r="C77" s="520"/>
      <c r="D77" s="520">
        <f t="shared" si="2"/>
        <v>0</v>
      </c>
      <c r="E77" s="247"/>
      <c r="F77" s="384"/>
      <c r="P77" s="196"/>
    </row>
    <row r="78" spans="2:16" s="77" customFormat="1" ht="21.75" customHeight="1" hidden="1">
      <c r="B78" s="298" t="s">
        <v>54</v>
      </c>
      <c r="C78" s="520"/>
      <c r="D78" s="520">
        <f t="shared" si="2"/>
        <v>0</v>
      </c>
      <c r="E78" s="247"/>
      <c r="F78" s="384"/>
      <c r="P78" s="196"/>
    </row>
    <row r="79" spans="2:16" s="77" customFormat="1" ht="21.75" customHeight="1" hidden="1">
      <c r="B79" s="298" t="s">
        <v>45</v>
      </c>
      <c r="C79" s="520"/>
      <c r="D79" s="520">
        <f t="shared" si="2"/>
        <v>0</v>
      </c>
      <c r="E79" s="247"/>
      <c r="F79" s="384"/>
      <c r="P79" s="196"/>
    </row>
    <row r="80" spans="2:16" s="77" customFormat="1" ht="21.75" customHeight="1" hidden="1">
      <c r="B80" s="298" t="s">
        <v>49</v>
      </c>
      <c r="C80" s="520"/>
      <c r="D80" s="520">
        <f t="shared" si="2"/>
        <v>0</v>
      </c>
      <c r="E80" s="247"/>
      <c r="F80" s="384"/>
      <c r="P80" s="196"/>
    </row>
    <row r="81" spans="2:16" s="77" customFormat="1" ht="21.75" customHeight="1" hidden="1">
      <c r="B81" s="298" t="s">
        <v>56</v>
      </c>
      <c r="C81" s="520"/>
      <c r="D81" s="520">
        <f t="shared" si="2"/>
        <v>0</v>
      </c>
      <c r="E81" s="247"/>
      <c r="F81" s="384"/>
      <c r="P81" s="196"/>
    </row>
    <row r="82" spans="2:16" s="77" customFormat="1" ht="21.75" customHeight="1" hidden="1">
      <c r="B82" s="298" t="s">
        <v>51</v>
      </c>
      <c r="C82" s="520"/>
      <c r="D82" s="520">
        <f t="shared" si="2"/>
        <v>0</v>
      </c>
      <c r="E82" s="247"/>
      <c r="F82" s="384"/>
      <c r="P82" s="196"/>
    </row>
    <row r="83" spans="2:16" s="77" customFormat="1" ht="21.75" customHeight="1" hidden="1">
      <c r="B83" s="298" t="s">
        <v>53</v>
      </c>
      <c r="C83" s="520"/>
      <c r="D83" s="520">
        <f t="shared" si="2"/>
        <v>0</v>
      </c>
      <c r="E83" s="247"/>
      <c r="F83" s="384"/>
      <c r="P83" s="196"/>
    </row>
    <row r="84" spans="2:16" s="77" customFormat="1" ht="21.75" customHeight="1" hidden="1">
      <c r="B84" s="298" t="s">
        <v>55</v>
      </c>
      <c r="C84" s="520"/>
      <c r="D84" s="520">
        <f t="shared" si="2"/>
        <v>0</v>
      </c>
      <c r="E84" s="247"/>
      <c r="F84" s="384"/>
      <c r="P84" s="196"/>
    </row>
    <row r="85" spans="2:16" s="77" customFormat="1" ht="9.75" customHeight="1" hidden="1">
      <c r="B85" s="76"/>
      <c r="C85" s="522"/>
      <c r="D85" s="522"/>
      <c r="E85" s="247"/>
      <c r="F85" s="384"/>
      <c r="P85" s="196"/>
    </row>
    <row r="86" spans="2:16" s="77" customFormat="1" ht="21.75" customHeight="1" hidden="1">
      <c r="B86" s="78" t="s">
        <v>25</v>
      </c>
      <c r="C86" s="519">
        <f>+C87</f>
        <v>0</v>
      </c>
      <c r="D86" s="519">
        <f>+D87</f>
        <v>0</v>
      </c>
      <c r="E86" s="247"/>
      <c r="F86" s="384"/>
      <c r="P86" s="196"/>
    </row>
    <row r="87" spans="2:16" s="77" customFormat="1" ht="21.75" customHeight="1" hidden="1">
      <c r="B87" s="298" t="s">
        <v>106</v>
      </c>
      <c r="C87" s="520"/>
      <c r="D87" s="520">
        <f>+C87*$E$9</f>
        <v>0</v>
      </c>
      <c r="E87" s="247"/>
      <c r="F87" s="384"/>
      <c r="P87" s="196"/>
    </row>
    <row r="88" spans="2:16" s="77" customFormat="1" ht="4.5" customHeight="1">
      <c r="B88" s="150"/>
      <c r="C88" s="535"/>
      <c r="D88" s="535"/>
      <c r="E88" s="247"/>
      <c r="F88" s="384"/>
      <c r="P88" s="196"/>
    </row>
    <row r="89" spans="2:16" s="77" customFormat="1" ht="15" customHeight="1">
      <c r="B89" s="664" t="s">
        <v>28</v>
      </c>
      <c r="C89" s="662">
        <f>C14+C39</f>
        <v>8850420.134019999</v>
      </c>
      <c r="D89" s="662">
        <f>+D14+D39</f>
        <v>32737704.075749997</v>
      </c>
      <c r="E89" s="247"/>
      <c r="F89" s="384"/>
      <c r="P89" s="196"/>
    </row>
    <row r="90" spans="2:16" s="111" customFormat="1" ht="15" customHeight="1">
      <c r="B90" s="665"/>
      <c r="C90" s="666"/>
      <c r="D90" s="666"/>
      <c r="E90" s="247"/>
      <c r="F90" s="384"/>
      <c r="G90" s="77"/>
      <c r="P90" s="197"/>
    </row>
    <row r="91" spans="2:16" s="77" customFormat="1" ht="7.5" customHeight="1">
      <c r="B91" s="151"/>
      <c r="C91" s="101"/>
      <c r="D91" s="101"/>
      <c r="E91" s="247"/>
      <c r="F91" s="384"/>
      <c r="P91" s="196"/>
    </row>
    <row r="92" spans="1:16" ht="14.25" customHeight="1">
      <c r="A92" s="300"/>
      <c r="B92" s="301" t="s">
        <v>200</v>
      </c>
      <c r="C92" s="312"/>
      <c r="D92" s="302"/>
      <c r="E92" s="247"/>
      <c r="F92" s="384"/>
      <c r="G92" s="77"/>
      <c r="P92" s="195"/>
    </row>
    <row r="93" spans="1:16" ht="14.25" customHeight="1">
      <c r="A93" s="300"/>
      <c r="B93" s="301" t="s">
        <v>201</v>
      </c>
      <c r="C93" s="303"/>
      <c r="D93" s="304"/>
      <c r="E93" s="247"/>
      <c r="F93" s="384"/>
      <c r="G93" s="77"/>
      <c r="P93" s="195"/>
    </row>
    <row r="94" spans="3:16" ht="14.25">
      <c r="C94" s="305"/>
      <c r="D94" s="306"/>
      <c r="E94" s="247"/>
      <c r="F94" s="384"/>
      <c r="G94" s="77"/>
      <c r="P94" s="195"/>
    </row>
    <row r="95" spans="3:16" ht="14.25">
      <c r="C95" s="308"/>
      <c r="D95" s="308"/>
      <c r="E95" s="247"/>
      <c r="F95" s="384"/>
      <c r="G95" s="309"/>
      <c r="H95" s="309"/>
      <c r="P95" s="195"/>
    </row>
    <row r="96" spans="3:16" ht="12.75">
      <c r="C96" s="310"/>
      <c r="D96" s="310"/>
      <c r="G96" s="309"/>
      <c r="H96" s="309"/>
      <c r="P96" s="195"/>
    </row>
    <row r="97" spans="3:16" ht="12.75">
      <c r="C97" s="311"/>
      <c r="D97" s="311"/>
      <c r="H97" s="307"/>
      <c r="P97" s="195"/>
    </row>
    <row r="98" spans="2:16" ht="18">
      <c r="B98" s="371" t="s">
        <v>121</v>
      </c>
      <c r="C98" s="371"/>
      <c r="D98" s="371"/>
      <c r="H98" s="307"/>
      <c r="P98" s="195"/>
    </row>
    <row r="99" spans="2:16" ht="18">
      <c r="B99" s="372" t="s">
        <v>135</v>
      </c>
      <c r="C99" s="372"/>
      <c r="D99" s="372"/>
      <c r="G99" s="309"/>
      <c r="P99" s="195"/>
    </row>
    <row r="100" spans="2:16" ht="18">
      <c r="B100" s="372" t="s">
        <v>136</v>
      </c>
      <c r="C100" s="372"/>
      <c r="D100" s="372"/>
      <c r="P100" s="195"/>
    </row>
    <row r="101" spans="2:16" ht="16.5">
      <c r="B101" s="376" t="s">
        <v>58</v>
      </c>
      <c r="C101" s="373"/>
      <c r="D101" s="373"/>
      <c r="P101" s="195"/>
    </row>
    <row r="102" spans="2:16" ht="15.75">
      <c r="B102" s="374" t="str">
        <f>+B9</f>
        <v>Al 31 de agosto de 2023</v>
      </c>
      <c r="C102" s="374"/>
      <c r="D102" s="296"/>
      <c r="P102" s="195"/>
    </row>
    <row r="103" spans="2:16" s="77" customFormat="1" ht="6.75" customHeight="1">
      <c r="B103" s="563"/>
      <c r="C103" s="563"/>
      <c r="D103" s="563"/>
      <c r="E103" s="211"/>
      <c r="P103" s="196"/>
    </row>
    <row r="104" spans="2:16" ht="16.5" customHeight="1">
      <c r="B104" s="598" t="s">
        <v>96</v>
      </c>
      <c r="C104" s="656" t="s">
        <v>86</v>
      </c>
      <c r="D104" s="658" t="s">
        <v>163</v>
      </c>
      <c r="P104" s="195"/>
    </row>
    <row r="105" spans="2:16" s="111" customFormat="1" ht="16.5" customHeight="1">
      <c r="B105" s="599"/>
      <c r="C105" s="657"/>
      <c r="D105" s="659"/>
      <c r="E105" s="212"/>
      <c r="G105" s="313"/>
      <c r="P105" s="197"/>
    </row>
    <row r="106" spans="2:16" s="111" customFormat="1" ht="9.75" customHeight="1">
      <c r="B106" s="149"/>
      <c r="C106" s="536"/>
      <c r="D106" s="538"/>
      <c r="E106" s="212"/>
      <c r="G106" s="313"/>
      <c r="P106" s="197"/>
    </row>
    <row r="107" spans="2:16" s="77" customFormat="1" ht="19.5" customHeight="1">
      <c r="B107" s="79" t="s">
        <v>198</v>
      </c>
      <c r="C107" s="518">
        <f>+C109+C112</f>
        <v>604712.96761</v>
      </c>
      <c r="D107" s="518">
        <f>+D109+D112</f>
        <v>2236833.26718</v>
      </c>
      <c r="E107" s="211"/>
      <c r="G107" s="299"/>
      <c r="H107" s="299"/>
      <c r="P107" s="196"/>
    </row>
    <row r="108" spans="2:16" s="77" customFormat="1" ht="9.75" customHeight="1">
      <c r="B108" s="79"/>
      <c r="C108" s="518"/>
      <c r="D108" s="518"/>
      <c r="E108" s="211"/>
      <c r="G108" s="299"/>
      <c r="H108" s="299"/>
      <c r="P108" s="196"/>
    </row>
    <row r="109" spans="2:16" s="77" customFormat="1" ht="16.5" customHeight="1">
      <c r="B109" s="78" t="s">
        <v>25</v>
      </c>
      <c r="C109" s="519">
        <f>SUM(C110:C110)</f>
        <v>0</v>
      </c>
      <c r="D109" s="519">
        <f>SUM(D110:D110)</f>
        <v>0</v>
      </c>
      <c r="E109" s="211"/>
      <c r="G109" s="299"/>
      <c r="H109" s="299"/>
      <c r="P109" s="196"/>
    </row>
    <row r="110" spans="2:16" s="77" customFormat="1" ht="16.5" customHeight="1" hidden="1">
      <c r="B110" s="537"/>
      <c r="C110" s="534">
        <v>0</v>
      </c>
      <c r="D110" s="535">
        <f>ROUND(+C110*$E$9,5)</f>
        <v>0</v>
      </c>
      <c r="E110" s="211"/>
      <c r="G110" s="299"/>
      <c r="H110" s="299"/>
      <c r="P110" s="196"/>
    </row>
    <row r="111" spans="2:16" s="77" customFormat="1" ht="12" customHeight="1">
      <c r="B111" s="79"/>
      <c r="C111" s="518"/>
      <c r="D111" s="518"/>
      <c r="E111" s="211"/>
      <c r="G111" s="299"/>
      <c r="H111" s="299"/>
      <c r="P111" s="196"/>
    </row>
    <row r="112" spans="2:16" s="77" customFormat="1" ht="16.5" customHeight="1">
      <c r="B112" s="78" t="s">
        <v>24</v>
      </c>
      <c r="C112" s="519">
        <f>SUM(C113:C122)</f>
        <v>604712.96761</v>
      </c>
      <c r="D112" s="519">
        <f>SUM(D113:D122)</f>
        <v>2236833.26718</v>
      </c>
      <c r="E112" s="211"/>
      <c r="F112" s="211"/>
      <c r="G112" s="314"/>
      <c r="H112" s="314"/>
      <c r="P112" s="196"/>
    </row>
    <row r="113" spans="2:16" s="77" customFormat="1" ht="16.5" customHeight="1">
      <c r="B113" s="540" t="s">
        <v>197</v>
      </c>
      <c r="C113" s="534">
        <v>247957.0711</v>
      </c>
      <c r="D113" s="535">
        <f aca="true" t="shared" si="3" ref="D113:D122">ROUND(+C113*$E$9,5)</f>
        <v>917193.206</v>
      </c>
      <c r="E113" s="211"/>
      <c r="F113" s="211"/>
      <c r="G113" s="314"/>
      <c r="H113" s="314"/>
      <c r="P113" s="196"/>
    </row>
    <row r="114" spans="2:16" s="77" customFormat="1" ht="16.5" customHeight="1">
      <c r="B114" s="541" t="s">
        <v>236</v>
      </c>
      <c r="C114" s="534">
        <v>101315.29826000003</v>
      </c>
      <c r="D114" s="535">
        <f t="shared" si="3"/>
        <v>374765.28826</v>
      </c>
      <c r="E114" s="211"/>
      <c r="F114" s="211"/>
      <c r="G114" s="314"/>
      <c r="H114" s="314"/>
      <c r="P114" s="196"/>
    </row>
    <row r="115" spans="2:16" s="77" customFormat="1" ht="16.5" customHeight="1">
      <c r="B115" s="541" t="s">
        <v>235</v>
      </c>
      <c r="C115" s="534">
        <v>63246.57558999999</v>
      </c>
      <c r="D115" s="535">
        <f t="shared" si="3"/>
        <v>233949.08311</v>
      </c>
      <c r="E115" s="211"/>
      <c r="F115" s="211"/>
      <c r="G115" s="314"/>
      <c r="P115" s="196"/>
    </row>
    <row r="116" spans="2:16" s="77" customFormat="1" ht="16.5" customHeight="1">
      <c r="B116" s="541" t="s">
        <v>250</v>
      </c>
      <c r="C116" s="534">
        <v>56908.385550000006</v>
      </c>
      <c r="D116" s="535">
        <f t="shared" si="3"/>
        <v>210504.11815</v>
      </c>
      <c r="E116" s="211"/>
      <c r="F116" s="211"/>
      <c r="G116" s="314"/>
      <c r="P116" s="196"/>
    </row>
    <row r="117" spans="2:16" s="77" customFormat="1" ht="16.5" customHeight="1">
      <c r="B117" s="540" t="s">
        <v>166</v>
      </c>
      <c r="C117" s="534">
        <v>39740.47039</v>
      </c>
      <c r="D117" s="535">
        <f t="shared" si="3"/>
        <v>146999.99997</v>
      </c>
      <c r="E117" s="211"/>
      <c r="F117" s="211"/>
      <c r="G117" s="314"/>
      <c r="P117" s="196"/>
    </row>
    <row r="118" spans="2:16" s="77" customFormat="1" ht="16.5" customHeight="1">
      <c r="B118" s="541" t="s">
        <v>238</v>
      </c>
      <c r="C118" s="534">
        <v>34069.28663</v>
      </c>
      <c r="D118" s="535">
        <f t="shared" si="3"/>
        <v>126022.29124</v>
      </c>
      <c r="E118" s="211"/>
      <c r="F118" s="211"/>
      <c r="G118" s="314"/>
      <c r="P118" s="196"/>
    </row>
    <row r="119" spans="2:16" s="77" customFormat="1" ht="16.5" customHeight="1">
      <c r="B119" s="541" t="s">
        <v>237</v>
      </c>
      <c r="C119" s="534">
        <v>30697.291280000005</v>
      </c>
      <c r="D119" s="535">
        <f t="shared" si="3"/>
        <v>113549.28044</v>
      </c>
      <c r="E119" s="211"/>
      <c r="F119" s="211"/>
      <c r="G119" s="314"/>
      <c r="P119" s="196"/>
    </row>
    <row r="120" spans="2:16" s="77" customFormat="1" ht="16.5" customHeight="1">
      <c r="B120" s="541" t="s">
        <v>239</v>
      </c>
      <c r="C120" s="534">
        <v>25682.61692</v>
      </c>
      <c r="D120" s="535">
        <f t="shared" si="3"/>
        <v>94999.99999</v>
      </c>
      <c r="E120" s="211"/>
      <c r="F120" s="211"/>
      <c r="G120" s="314"/>
      <c r="P120" s="196"/>
    </row>
    <row r="121" spans="2:16" s="77" customFormat="1" ht="16.5" customHeight="1">
      <c r="B121" s="541" t="s">
        <v>248</v>
      </c>
      <c r="C121" s="534">
        <v>3203.56854</v>
      </c>
      <c r="D121" s="535">
        <f t="shared" si="3"/>
        <v>11850.00003</v>
      </c>
      <c r="E121" s="211"/>
      <c r="F121" s="211"/>
      <c r="G121" s="314"/>
      <c r="P121" s="196"/>
    </row>
    <row r="122" spans="2:16" s="77" customFormat="1" ht="16.5" customHeight="1">
      <c r="B122" s="541" t="s">
        <v>252</v>
      </c>
      <c r="C122" s="534">
        <v>1892.40335</v>
      </c>
      <c r="D122" s="535">
        <f t="shared" si="3"/>
        <v>6999.99999</v>
      </c>
      <c r="E122" s="211"/>
      <c r="F122" s="211"/>
      <c r="G122" s="314"/>
      <c r="P122" s="196"/>
    </row>
    <row r="123" spans="2:16" s="77" customFormat="1" ht="9.75" customHeight="1">
      <c r="B123" s="150"/>
      <c r="C123" s="539"/>
      <c r="D123" s="535"/>
      <c r="E123" s="211"/>
      <c r="F123" s="211"/>
      <c r="G123" s="314"/>
      <c r="P123" s="196"/>
    </row>
    <row r="124" spans="2:16" s="77" customFormat="1" ht="15" customHeight="1">
      <c r="B124" s="660" t="s">
        <v>28</v>
      </c>
      <c r="C124" s="662">
        <f>+C107</f>
        <v>604712.96761</v>
      </c>
      <c r="D124" s="662">
        <f>+D107</f>
        <v>2236833.26718</v>
      </c>
      <c r="E124" s="211"/>
      <c r="F124" s="211"/>
      <c r="G124" s="314"/>
      <c r="P124" s="196"/>
    </row>
    <row r="125" spans="2:16" s="111" customFormat="1" ht="15" customHeight="1">
      <c r="B125" s="661"/>
      <c r="C125" s="663"/>
      <c r="D125" s="663"/>
      <c r="E125" s="211"/>
      <c r="F125" s="442"/>
      <c r="G125" s="314"/>
      <c r="P125" s="197"/>
    </row>
    <row r="126" spans="2:16" s="77" customFormat="1" ht="7.5" customHeight="1">
      <c r="B126" s="151"/>
      <c r="C126" s="101"/>
      <c r="D126" s="101"/>
      <c r="E126" s="211"/>
      <c r="F126" s="442"/>
      <c r="P126" s="196"/>
    </row>
    <row r="127" spans="1:16" ht="14.25" customHeight="1">
      <c r="A127" s="300"/>
      <c r="B127" s="301" t="s">
        <v>200</v>
      </c>
      <c r="C127" s="387"/>
      <c r="D127" s="387"/>
      <c r="P127" s="195"/>
    </row>
    <row r="128" spans="3:16" ht="12.75">
      <c r="C128" s="312"/>
      <c r="D128" s="312"/>
      <c r="P128" s="195"/>
    </row>
  </sheetData>
  <sheetProtection/>
  <mergeCells count="14">
    <mergeCell ref="B10:D10"/>
    <mergeCell ref="B103:D103"/>
    <mergeCell ref="B11:B12"/>
    <mergeCell ref="C11:C12"/>
    <mergeCell ref="D11:D12"/>
    <mergeCell ref="B89:B90"/>
    <mergeCell ref="C89:C90"/>
    <mergeCell ref="D89:D90"/>
    <mergeCell ref="B104:B105"/>
    <mergeCell ref="C104:C105"/>
    <mergeCell ref="D104:D105"/>
    <mergeCell ref="B124:B125"/>
    <mergeCell ref="C124:C125"/>
    <mergeCell ref="D124:D125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4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49" t="s">
        <v>18</v>
      </c>
      <c r="C6" s="549"/>
      <c r="D6" s="549"/>
      <c r="E6" s="549"/>
      <c r="F6" s="549"/>
      <c r="G6" s="549"/>
    </row>
    <row r="7" spans="2:7" s="4" customFormat="1" ht="15.75">
      <c r="B7" s="550" t="str">
        <f>+Indice!B7</f>
        <v>AL 31 DE AGOSTO 2023</v>
      </c>
      <c r="C7" s="550"/>
      <c r="D7" s="550"/>
      <c r="E7" s="550"/>
      <c r="F7" s="550"/>
      <c r="G7" s="550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52" t="s">
        <v>142</v>
      </c>
      <c r="E9" s="552"/>
      <c r="F9" s="552"/>
      <c r="G9" s="552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130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53" t="s">
        <v>131</v>
      </c>
      <c r="E13" s="553"/>
      <c r="F13" s="553"/>
      <c r="G13" s="553"/>
      <c r="H13" s="553"/>
    </row>
    <row r="14" spans="2:8" ht="15.75" customHeight="1">
      <c r="B14" s="52"/>
      <c r="C14" s="52"/>
      <c r="D14" s="553" t="s">
        <v>132</v>
      </c>
      <c r="E14" s="553"/>
      <c r="F14" s="553"/>
      <c r="G14" s="553"/>
      <c r="H14" s="553"/>
    </row>
    <row r="15" spans="2:7" ht="15.75" customHeight="1">
      <c r="B15" s="52"/>
      <c r="C15" s="52"/>
      <c r="D15" s="29" t="s">
        <v>133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126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127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128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129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56">
        <v>45169</v>
      </c>
      <c r="E22" s="555"/>
      <c r="F22" s="555"/>
      <c r="G22" s="555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55" t="s">
        <v>17</v>
      </c>
      <c r="E24" s="555"/>
      <c r="F24" s="555"/>
      <c r="G24" s="555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52" t="s">
        <v>151</v>
      </c>
      <c r="E26" s="552"/>
      <c r="F26" s="552"/>
      <c r="G26" s="552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159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82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45199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81</v>
      </c>
      <c r="C35" s="55" t="s">
        <v>8</v>
      </c>
      <c r="D35" s="29" t="s">
        <v>83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53" t="s">
        <v>160</v>
      </c>
      <c r="E37" s="553"/>
      <c r="F37" s="553"/>
      <c r="G37" s="553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55" t="s">
        <v>170</v>
      </c>
      <c r="E39" s="555"/>
      <c r="F39" s="555"/>
      <c r="G39" s="555"/>
      <c r="H39" s="554">
        <v>3.699</v>
      </c>
    </row>
    <row r="40" spans="4:8" ht="15.75" customHeight="1">
      <c r="D40" s="555"/>
      <c r="E40" s="555"/>
      <c r="F40" s="555"/>
      <c r="G40" s="555"/>
      <c r="H40" s="554"/>
    </row>
    <row r="41" ht="15.75" customHeight="1"/>
    <row r="42" spans="2:4" ht="12.75">
      <c r="B42" s="55" t="s">
        <v>69</v>
      </c>
      <c r="C42" s="55" t="s">
        <v>8</v>
      </c>
      <c r="D42" s="6" t="s">
        <v>70</v>
      </c>
    </row>
  </sheetData>
  <sheetProtection/>
  <mergeCells count="11">
    <mergeCell ref="D22:G22"/>
    <mergeCell ref="B6:G6"/>
    <mergeCell ref="B7:G7"/>
    <mergeCell ref="D9:G9"/>
    <mergeCell ref="D14:H14"/>
    <mergeCell ref="D13:H13"/>
    <mergeCell ref="H39:H40"/>
    <mergeCell ref="D24:G24"/>
    <mergeCell ref="D26:G26"/>
    <mergeCell ref="D37:G37"/>
    <mergeCell ref="D39:G40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5.75" customHeight="1"/>
    <row r="2" s="130" customFormat="1" ht="15.75" customHeight="1">
      <c r="D2" s="152"/>
    </row>
    <row r="3" s="130" customFormat="1" ht="15.75" customHeight="1">
      <c r="D3" s="152"/>
    </row>
    <row r="4" spans="1:19" s="154" customFormat="1" ht="18" customHeight="1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19.5" customHeight="1">
      <c r="A5" s="130"/>
      <c r="B5" s="549" t="s">
        <v>172</v>
      </c>
      <c r="C5" s="549"/>
      <c r="D5" s="549"/>
      <c r="E5" s="549"/>
      <c r="F5" s="549"/>
      <c r="G5" s="549"/>
      <c r="H5" s="549"/>
      <c r="I5" s="549"/>
      <c r="J5" s="549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62" t="s">
        <v>18</v>
      </c>
      <c r="C6" s="562"/>
      <c r="D6" s="562"/>
      <c r="E6" s="562"/>
      <c r="F6" s="562"/>
      <c r="G6" s="562"/>
      <c r="H6" s="562"/>
      <c r="I6" s="562"/>
      <c r="J6" s="562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50" t="str">
        <f>+Indice!B7</f>
        <v>AL 31 DE AGOSTO 2023</v>
      </c>
      <c r="C7" s="550"/>
      <c r="D7" s="550"/>
      <c r="E7" s="550"/>
      <c r="F7" s="550"/>
      <c r="G7" s="550"/>
      <c r="H7" s="550"/>
      <c r="I7" s="550"/>
      <c r="J7" s="550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50"/>
      <c r="C8" s="550"/>
      <c r="D8" s="550"/>
      <c r="E8" s="550"/>
      <c r="F8" s="550"/>
      <c r="G8" s="550"/>
      <c r="H8" s="550"/>
      <c r="I8" s="550"/>
      <c r="J8" s="550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63" t="s">
        <v>161</v>
      </c>
      <c r="C9" s="563"/>
      <c r="D9" s="563"/>
      <c r="E9" s="563"/>
      <c r="F9" s="563"/>
      <c r="G9" s="563"/>
      <c r="H9" s="261"/>
      <c r="I9" s="261"/>
      <c r="J9" s="261"/>
      <c r="K9" s="119"/>
      <c r="L9" s="198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59" t="s">
        <v>153</v>
      </c>
      <c r="C11" s="560"/>
      <c r="D11" s="560"/>
      <c r="E11" s="561"/>
      <c r="G11" s="559" t="s">
        <v>31</v>
      </c>
      <c r="H11" s="560"/>
      <c r="I11" s="560"/>
      <c r="J11" s="561"/>
    </row>
    <row r="12" spans="2:10" ht="19.5" customHeight="1">
      <c r="B12" s="121"/>
      <c r="C12" s="411" t="s">
        <v>76</v>
      </c>
      <c r="D12" s="412" t="s">
        <v>162</v>
      </c>
      <c r="E12" s="408" t="s">
        <v>27</v>
      </c>
      <c r="G12" s="124"/>
      <c r="H12" s="405" t="s">
        <v>76</v>
      </c>
      <c r="I12" s="405" t="str">
        <f>+D12</f>
        <v>Soles</v>
      </c>
      <c r="J12" s="481" t="s">
        <v>225</v>
      </c>
    </row>
    <row r="13" spans="2:15" ht="19.5" customHeight="1">
      <c r="B13" s="125" t="s">
        <v>72</v>
      </c>
      <c r="C13" s="406">
        <f>(+'DEP-C2'!C18+'DEP-C2'!C42)/1000</f>
        <v>7629.45213082</v>
      </c>
      <c r="D13" s="406">
        <f>(+'DEP-C2'!D18+'DEP-C2'!D42)/1000</f>
        <v>28221.343431898902</v>
      </c>
      <c r="E13" s="409">
        <f>+C13/$C$15</f>
        <v>0.8069111295223053</v>
      </c>
      <c r="G13" s="125" t="s">
        <v>73</v>
      </c>
      <c r="H13" s="406">
        <f>+C21+C22+C23+C24</f>
        <v>3740.88425816</v>
      </c>
      <c r="I13" s="406">
        <f>+D21+D22+D23+D24</f>
        <v>13837.530870929999</v>
      </c>
      <c r="J13" s="479">
        <f>+H13/$H$15</f>
        <v>0.3956458590218151</v>
      </c>
      <c r="N13" s="199"/>
      <c r="O13" s="199"/>
    </row>
    <row r="14" spans="2:15" ht="19.5" customHeight="1">
      <c r="B14" s="125" t="s">
        <v>71</v>
      </c>
      <c r="C14" s="406">
        <f>(+'DEP-C2'!C14+'DEP-C2'!C38)/1000</f>
        <v>1825.68097081</v>
      </c>
      <c r="D14" s="406">
        <f>(+'DEP-C2'!D14+'DEP-C2'!D38)/1000</f>
        <v>6753.19391103049</v>
      </c>
      <c r="E14" s="409">
        <f>+C14/$C$15</f>
        <v>0.19308887047769482</v>
      </c>
      <c r="G14" s="125" t="s">
        <v>74</v>
      </c>
      <c r="H14" s="406">
        <f>+C20</f>
        <v>5714.24884347</v>
      </c>
      <c r="I14" s="406">
        <f>+D20</f>
        <v>21137.006472000005</v>
      </c>
      <c r="J14" s="479">
        <f>+H14/$H$15</f>
        <v>0.604354140978185</v>
      </c>
      <c r="O14" s="156"/>
    </row>
    <row r="15" spans="2:15" ht="19.5" customHeight="1">
      <c r="B15" s="126" t="s">
        <v>28</v>
      </c>
      <c r="C15" s="407">
        <f>SUM(C13:C14)</f>
        <v>9455.13310163</v>
      </c>
      <c r="D15" s="407">
        <f>SUM(D13:D14)</f>
        <v>34974.53734292939</v>
      </c>
      <c r="E15" s="410">
        <f>SUM(E13:E14)</f>
        <v>1</v>
      </c>
      <c r="G15" s="126" t="s">
        <v>28</v>
      </c>
      <c r="H15" s="407">
        <f>SUM(H13:H14)</f>
        <v>9455.13310163</v>
      </c>
      <c r="I15" s="407">
        <f>SUM(I13:I14)</f>
        <v>34974.53734293</v>
      </c>
      <c r="J15" s="480">
        <f>SUM(J13:J14)</f>
        <v>1</v>
      </c>
      <c r="O15" s="156"/>
    </row>
    <row r="16" spans="2:10" ht="19.5" customHeight="1">
      <c r="B16" s="123"/>
      <c r="C16" s="487"/>
      <c r="D16" s="270"/>
      <c r="E16" s="222"/>
      <c r="G16" s="123"/>
      <c r="H16" s="271"/>
      <c r="I16" s="271"/>
      <c r="J16" s="222"/>
    </row>
    <row r="17" spans="2:8" ht="19.5" customHeight="1">
      <c r="B17" s="164"/>
      <c r="C17" s="272"/>
      <c r="H17" s="127"/>
    </row>
    <row r="18" spans="2:12" ht="19.5" customHeight="1">
      <c r="B18" s="559" t="s">
        <v>67</v>
      </c>
      <c r="C18" s="560"/>
      <c r="D18" s="560"/>
      <c r="E18" s="561"/>
      <c r="G18" s="559" t="s">
        <v>61</v>
      </c>
      <c r="H18" s="560"/>
      <c r="I18" s="560"/>
      <c r="J18" s="561"/>
      <c r="L18" s="127"/>
    </row>
    <row r="19" spans="2:10" ht="19.5" customHeight="1">
      <c r="B19" s="124"/>
      <c r="C19" s="405" t="s">
        <v>76</v>
      </c>
      <c r="D19" s="405" t="str">
        <f>+D12</f>
        <v>Soles</v>
      </c>
      <c r="E19" s="413" t="s">
        <v>27</v>
      </c>
      <c r="G19" s="124"/>
      <c r="H19" s="405" t="s">
        <v>76</v>
      </c>
      <c r="I19" s="405" t="str">
        <f>+I12</f>
        <v>Soles</v>
      </c>
      <c r="J19" s="413" t="s">
        <v>27</v>
      </c>
    </row>
    <row r="20" spans="2:12" ht="19.5" customHeight="1">
      <c r="B20" s="125" t="s">
        <v>74</v>
      </c>
      <c r="C20" s="406">
        <f>+(+'DEP-C7'!D20+'DEP-C7'!D38)/1000</f>
        <v>5714.24884347</v>
      </c>
      <c r="D20" s="406">
        <f>+(+'DEP-C7'!E20+'DEP-C7'!E38)/1000</f>
        <v>21137.006472000005</v>
      </c>
      <c r="E20" s="409">
        <f>+C20/$C$25</f>
        <v>0.6043541409781849</v>
      </c>
      <c r="G20" s="125" t="s">
        <v>76</v>
      </c>
      <c r="H20" s="406">
        <f>('DEP-C3'!C22+'DEP-C3'!C57)/1000</f>
        <v>6994.73046917</v>
      </c>
      <c r="I20" s="406">
        <f>('DEP-C3'!D22+'DEP-C3'!D57)/1000</f>
        <v>25873.508005459997</v>
      </c>
      <c r="J20" s="409">
        <f>+H20/$H$24</f>
        <v>0.7397812800714731</v>
      </c>
      <c r="L20" s="157"/>
    </row>
    <row r="21" spans="2:12" ht="19.5" customHeight="1">
      <c r="B21" s="125" t="s">
        <v>75</v>
      </c>
      <c r="C21" s="406">
        <f>+(+'DEP-C7'!D15+'DEP-C7'!D30+'DEP-C7'!D76)/1000</f>
        <v>2301.69227279</v>
      </c>
      <c r="D21" s="406">
        <f>+(+'DEP-C7'!E15+'DEP-C7'!E30+'DEP-C7'!E76)/1000</f>
        <v>8513.959717049998</v>
      </c>
      <c r="E21" s="409">
        <f>+C21/$C$25</f>
        <v>0.2434330905815809</v>
      </c>
      <c r="G21" s="125" t="s">
        <v>162</v>
      </c>
      <c r="H21" s="406">
        <f>('DEP-C3'!C14+'DEP-C3'!C49)/1000</f>
        <v>1994.1353957800004</v>
      </c>
      <c r="I21" s="406">
        <f>(+'DEP-C3'!D14+'DEP-C3'!D49)/1000</f>
        <v>7376.306828989999</v>
      </c>
      <c r="J21" s="409">
        <f>+H21/$H$24</f>
        <v>0.21090505806166018</v>
      </c>
      <c r="L21" s="170"/>
    </row>
    <row r="22" spans="2:12" ht="19.5" customHeight="1">
      <c r="B22" s="125" t="s">
        <v>211</v>
      </c>
      <c r="C22" s="406">
        <f>+('DEP-C7'!D22+'DEP-C7'!D41)/1000</f>
        <v>447.72228602000007</v>
      </c>
      <c r="D22" s="406">
        <f>+('DEP-C7'!E22+'DEP-C7'!E41)/1000</f>
        <v>1656.12473598</v>
      </c>
      <c r="E22" s="409">
        <f>+C22/$C$25</f>
        <v>0.04735229860939935</v>
      </c>
      <c r="G22" s="125" t="s">
        <v>77</v>
      </c>
      <c r="H22" s="406">
        <f>+'DEP-C3'!C26/1000</f>
        <v>134.97285715</v>
      </c>
      <c r="I22" s="406">
        <f>+'DEP-C3'!D26/1000</f>
        <v>499.26459859999994</v>
      </c>
      <c r="J22" s="409">
        <f>+H22/$H$24</f>
        <v>0.014275088007669781</v>
      </c>
      <c r="L22" s="200"/>
    </row>
    <row r="23" spans="2:12" ht="19.5" customHeight="1">
      <c r="B23" s="125" t="s">
        <v>125</v>
      </c>
      <c r="C23" s="406">
        <f>+('DEP-C7'!D18+'DEP-C7'!D36+'DEP-C7'!D85)/1000</f>
        <v>381.71246272999997</v>
      </c>
      <c r="D23" s="406">
        <f>(+'DEP-C7'!E18+'DEP-C7'!E36+'DEP-C7'!E85)/1000</f>
        <v>1411.95439964</v>
      </c>
      <c r="E23" s="409">
        <f>+C23/$C$25</f>
        <v>0.04037092430398419</v>
      </c>
      <c r="G23" s="125" t="s">
        <v>78</v>
      </c>
      <c r="H23" s="234">
        <f>+'DEP-C3'!C30/1000</f>
        <v>331.2943795299999</v>
      </c>
      <c r="I23" s="234">
        <f>+'DEP-C3'!D30/1000</f>
        <v>1225.45790988</v>
      </c>
      <c r="J23" s="409">
        <f>+H23/$H$24</f>
        <v>0.03503857385919686</v>
      </c>
      <c r="L23" s="170"/>
    </row>
    <row r="24" spans="2:12" ht="19.5" customHeight="1">
      <c r="B24" s="125" t="s">
        <v>36</v>
      </c>
      <c r="C24" s="406">
        <f>+('DEP-C7'!D25+'DEP-C7'!D43+'DEP-C7'!D87)/1000</f>
        <v>609.7572366200001</v>
      </c>
      <c r="D24" s="406">
        <f>+('DEP-C7'!E25+'DEP-C7'!E43+'DEP-C7'!E87)/1000</f>
        <v>2255.4920182600003</v>
      </c>
      <c r="E24" s="409">
        <f>+C24/$C$25</f>
        <v>0.0644895455268506</v>
      </c>
      <c r="G24" s="126" t="s">
        <v>28</v>
      </c>
      <c r="H24" s="407">
        <f>SUM(H20:H23)</f>
        <v>9455.133101630001</v>
      </c>
      <c r="I24" s="407">
        <f>SUM(I20:I23)</f>
        <v>34974.537342929994</v>
      </c>
      <c r="J24" s="410">
        <f>SUM(J20:J23)</f>
        <v>0.9999999999999999</v>
      </c>
      <c r="L24" s="201"/>
    </row>
    <row r="25" spans="2:5" ht="19.5" customHeight="1">
      <c r="B25" s="126" t="s">
        <v>28</v>
      </c>
      <c r="C25" s="407">
        <f>SUM(C20:C24)</f>
        <v>9455.133101630001</v>
      </c>
      <c r="D25" s="407">
        <f>SUM(D20:D24)</f>
        <v>34974.53734293</v>
      </c>
      <c r="E25" s="410">
        <f>SUM(E20:E24)</f>
        <v>0.9999999999999999</v>
      </c>
    </row>
    <row r="26" spans="3:9" ht="19.5" customHeight="1">
      <c r="C26" s="234"/>
      <c r="H26" s="170"/>
      <c r="I26" s="170"/>
    </row>
    <row r="27" spans="2:8" ht="19.5" customHeight="1">
      <c r="B27" s="123"/>
      <c r="C27" s="273"/>
      <c r="D27" s="274"/>
      <c r="E27" s="222"/>
      <c r="G27" s="224"/>
      <c r="H27" s="234"/>
    </row>
    <row r="28" spans="2:10" ht="19.5" customHeight="1">
      <c r="B28" s="559" t="s">
        <v>29</v>
      </c>
      <c r="C28" s="560"/>
      <c r="D28" s="560"/>
      <c r="E28" s="561"/>
      <c r="G28" s="559" t="s">
        <v>30</v>
      </c>
      <c r="H28" s="560"/>
      <c r="I28" s="560"/>
      <c r="J28" s="561"/>
    </row>
    <row r="29" spans="2:10" ht="19.5" customHeight="1">
      <c r="B29" s="124"/>
      <c r="C29" s="405" t="s">
        <v>76</v>
      </c>
      <c r="D29" s="405" t="str">
        <f>+D19</f>
        <v>Soles</v>
      </c>
      <c r="E29" s="413" t="s">
        <v>27</v>
      </c>
      <c r="G29" s="124"/>
      <c r="H29" s="122" t="s">
        <v>76</v>
      </c>
      <c r="I29" s="122" t="str">
        <f>+I19</f>
        <v>Soles</v>
      </c>
      <c r="J29" s="414" t="s">
        <v>27</v>
      </c>
    </row>
    <row r="30" spans="2:14" ht="19.5" customHeight="1">
      <c r="B30" s="125" t="s">
        <v>91</v>
      </c>
      <c r="C30" s="406">
        <f>(+'DEP-C2'!C15+'DEP-C2'!C19+'DEP-C2'!C43)/1000</f>
        <v>4258.232791859999</v>
      </c>
      <c r="D30" s="406">
        <f>(+'DEP-C2'!D15+'DEP-C2'!D19+'DEP-C2'!D43)/1000</f>
        <v>15751.203097089998</v>
      </c>
      <c r="E30" s="409">
        <f>+C30/$C$32</f>
        <v>0.4503620145892932</v>
      </c>
      <c r="G30" s="125" t="s">
        <v>79</v>
      </c>
      <c r="H30" s="406">
        <f>'DEP-C2'!C22/1000</f>
        <v>8850.420134020002</v>
      </c>
      <c r="I30" s="406">
        <f>+'DEP-C2'!D22/1000</f>
        <v>32737.704075740003</v>
      </c>
      <c r="J30" s="409">
        <f>+H30/$H$32</f>
        <v>0.9360439497667409</v>
      </c>
      <c r="N30" s="157"/>
    </row>
    <row r="31" spans="2:14" ht="19.5" customHeight="1">
      <c r="B31" s="125" t="s">
        <v>92</v>
      </c>
      <c r="C31" s="406">
        <f>(+'DEP-C2'!C16+'DEP-C2'!C20+'DEP-C2'!C40+'DEP-C2'!C44)/1000</f>
        <v>5196.9003097700015</v>
      </c>
      <c r="D31" s="406">
        <f>(+'DEP-C2'!D16+'DEP-C2'!D20+'DEP-C2'!D40+'DEP-C2'!D44)/1000</f>
        <v>19223.334245839393</v>
      </c>
      <c r="E31" s="409">
        <f>+C31/$C$32</f>
        <v>0.5496379854107069</v>
      </c>
      <c r="G31" s="125" t="s">
        <v>80</v>
      </c>
      <c r="H31" s="406">
        <f>+'DEP-C2'!C46/1000</f>
        <v>604.71296761</v>
      </c>
      <c r="I31" s="406">
        <f>+'DEP-C2'!D46/1000</f>
        <v>2236.83326718939</v>
      </c>
      <c r="J31" s="409">
        <f>+H31/$H$32</f>
        <v>0.06395605023325918</v>
      </c>
      <c r="N31" s="158"/>
    </row>
    <row r="32" spans="2:14" ht="19.5" customHeight="1">
      <c r="B32" s="126" t="s">
        <v>28</v>
      </c>
      <c r="C32" s="407">
        <f>SUM(C30:C31)</f>
        <v>9455.133101630001</v>
      </c>
      <c r="D32" s="407">
        <f>SUM(D30:D31)</f>
        <v>34974.53734292939</v>
      </c>
      <c r="E32" s="410">
        <f>SUM(E30:E31)</f>
        <v>1</v>
      </c>
      <c r="G32" s="126" t="s">
        <v>28</v>
      </c>
      <c r="H32" s="407">
        <f>SUM(H30:H31)</f>
        <v>9455.133101630001</v>
      </c>
      <c r="I32" s="407">
        <f>SUM(I30:I31)</f>
        <v>34974.53734292939</v>
      </c>
      <c r="J32" s="410">
        <f>SUM(J30:J31)</f>
        <v>1</v>
      </c>
      <c r="N32" s="156"/>
    </row>
    <row r="33" ht="8.25" customHeight="1"/>
    <row r="34" spans="2:10" ht="15.75" customHeight="1">
      <c r="B34" s="235"/>
      <c r="C34" s="275"/>
      <c r="D34" s="276"/>
      <c r="E34" s="235"/>
      <c r="F34" s="235"/>
      <c r="G34" s="235"/>
      <c r="H34" s="276"/>
      <c r="I34" s="276"/>
      <c r="J34" s="235"/>
    </row>
    <row r="35" spans="2:10" ht="5.25" customHeight="1">
      <c r="B35" s="236"/>
      <c r="C35" s="236"/>
      <c r="D35" s="236"/>
      <c r="E35" s="236"/>
      <c r="F35" s="236"/>
      <c r="G35" s="236"/>
      <c r="H35" s="236"/>
      <c r="J35" s="237"/>
    </row>
    <row r="36" spans="2:9" ht="15.75" customHeight="1">
      <c r="B36" s="238"/>
      <c r="C36" s="239"/>
      <c r="D36" s="239"/>
      <c r="E36" s="240"/>
      <c r="F36" s="86"/>
      <c r="G36" s="86"/>
      <c r="H36" s="241"/>
      <c r="I36" s="170"/>
    </row>
    <row r="37" spans="2:8" ht="15.75" customHeight="1">
      <c r="B37" s="557"/>
      <c r="C37" s="558"/>
      <c r="D37" s="558"/>
      <c r="E37" s="558"/>
      <c r="F37" s="86"/>
      <c r="G37" s="86"/>
      <c r="H37" s="86"/>
    </row>
    <row r="38" spans="2:6" s="77" customFormat="1" ht="15.75" customHeight="1">
      <c r="B38" s="86"/>
      <c r="C38" s="242"/>
      <c r="D38" s="243"/>
      <c r="E38" s="86"/>
      <c r="F38" s="251"/>
    </row>
    <row r="39" spans="2:6" s="77" customFormat="1" ht="15.75" customHeight="1">
      <c r="B39" s="86"/>
      <c r="C39" s="159"/>
      <c r="D39" s="86"/>
      <c r="E39" s="86"/>
      <c r="F39" s="251"/>
    </row>
  </sheetData>
  <sheetProtection/>
  <mergeCells count="12"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  <mergeCell ref="B6:J6"/>
    <mergeCell ref="B9:G9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="4" customFormat="1" ht="18" customHeight="1"/>
    <row r="5" spans="2:8" s="4" customFormat="1" ht="19.5" customHeight="1">
      <c r="B5" s="549" t="s">
        <v>173</v>
      </c>
      <c r="C5" s="549"/>
      <c r="D5" s="549"/>
      <c r="E5" s="549"/>
      <c r="F5" s="549"/>
      <c r="G5" s="549"/>
      <c r="H5" s="549"/>
    </row>
    <row r="6" spans="2:8" s="4" customFormat="1" ht="19.5" customHeight="1">
      <c r="B6" s="562" t="s">
        <v>18</v>
      </c>
      <c r="C6" s="562"/>
      <c r="D6" s="562"/>
      <c r="E6" s="562"/>
      <c r="F6" s="562"/>
      <c r="G6" s="562"/>
      <c r="H6" s="562"/>
    </row>
    <row r="7" spans="2:8" s="4" customFormat="1" ht="18" customHeight="1">
      <c r="B7" s="550" t="str">
        <f>+Indice!B7</f>
        <v>AL 31 DE AGOSTO 2023</v>
      </c>
      <c r="C7" s="550"/>
      <c r="D7" s="550"/>
      <c r="E7" s="550"/>
      <c r="F7" s="550"/>
      <c r="G7" s="550"/>
      <c r="H7" s="550"/>
    </row>
    <row r="8" spans="2:9" s="4" customFormat="1" ht="24.75" customHeight="1">
      <c r="B8" s="261"/>
      <c r="C8" s="261"/>
      <c r="D8" s="261"/>
      <c r="E8" s="261"/>
      <c r="F8" s="261"/>
      <c r="G8" s="261"/>
      <c r="H8" s="261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66" t="str">
        <f>+Resumen!B11:E11</f>
        <v>TIPO DE DEUDA</v>
      </c>
      <c r="C10" s="566"/>
      <c r="D10" s="566"/>
      <c r="E10" s="90"/>
      <c r="F10" s="566" t="s">
        <v>31</v>
      </c>
      <c r="G10" s="566"/>
      <c r="H10" s="566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66" t="str">
        <f>+Resumen!B18:E18</f>
        <v>GRUPO DEL ACREEDOR</v>
      </c>
      <c r="C28" s="566"/>
      <c r="D28" s="566"/>
      <c r="F28" s="566" t="s">
        <v>61</v>
      </c>
      <c r="G28" s="566"/>
      <c r="H28" s="566"/>
    </row>
    <row r="48" spans="2:8" s="23" customFormat="1" ht="16.5">
      <c r="B48" s="566" t="s">
        <v>29</v>
      </c>
      <c r="C48" s="566"/>
      <c r="D48" s="566"/>
      <c r="F48" s="566" t="s">
        <v>30</v>
      </c>
      <c r="G48" s="566"/>
      <c r="H48" s="566"/>
    </row>
    <row r="66" spans="2:8" ht="30" customHeight="1">
      <c r="B66" s="567"/>
      <c r="C66" s="567"/>
      <c r="D66" s="567"/>
      <c r="E66" s="567"/>
      <c r="F66" s="567"/>
      <c r="G66" s="567"/>
      <c r="H66" s="567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64"/>
      <c r="C69" s="565"/>
      <c r="D69" s="565"/>
      <c r="E69" s="565"/>
      <c r="F69" s="51"/>
      <c r="G69" s="51"/>
      <c r="H69" s="51"/>
    </row>
    <row r="70" spans="2:8" ht="15.75" customHeight="1">
      <c r="B70" s="564"/>
      <c r="C70" s="565"/>
      <c r="D70" s="565"/>
      <c r="E70" s="565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  <mergeCell ref="B69:E69"/>
    <mergeCell ref="F48:H48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5" width="12.28125" style="9" customWidth="1"/>
    <col min="26" max="29" width="9.7109375" style="9" hidden="1" customWidth="1"/>
    <col min="30" max="36" width="9.140625" style="9" hidden="1" customWidth="1"/>
    <col min="37" max="37" width="12.28125" style="9" customWidth="1"/>
    <col min="38" max="43" width="10.7109375" style="9" hidden="1" customWidth="1"/>
    <col min="44" max="48" width="9.140625" style="9" hidden="1" customWidth="1"/>
    <col min="49" max="49" width="12.28125" style="9" customWidth="1"/>
    <col min="50" max="57" width="10.7109375" style="9" customWidth="1"/>
    <col min="58" max="61" width="9.140625" style="9" hidden="1" customWidth="1"/>
    <col min="62" max="247" width="11.421875" style="9" customWidth="1"/>
    <col min="248" max="248" width="25.7109375" style="9" customWidth="1"/>
    <col min="249" max="16384" width="15.7109375" style="9" customWidth="1"/>
  </cols>
  <sheetData>
    <row r="1" ht="12.75">
      <c r="B1" s="8"/>
    </row>
    <row r="2" spans="2:22" s="11" customFormat="1" ht="18">
      <c r="B2" s="602"/>
      <c r="C2" s="602"/>
      <c r="D2" s="602"/>
      <c r="E2" s="602"/>
      <c r="F2" s="602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602"/>
      <c r="C3" s="602"/>
      <c r="D3" s="602"/>
      <c r="E3" s="602"/>
      <c r="F3" s="602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2" t="s">
        <v>113</v>
      </c>
      <c r="C6" s="372"/>
      <c r="D6" s="372"/>
      <c r="E6" s="372"/>
      <c r="F6" s="372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15" t="s">
        <v>164</v>
      </c>
      <c r="C7" s="262"/>
      <c r="D7" s="262"/>
      <c r="E7" s="262"/>
      <c r="F7" s="262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66" t="s">
        <v>154</v>
      </c>
      <c r="C8" s="133"/>
      <c r="D8" s="262"/>
      <c r="E8" s="262"/>
      <c r="F8" s="262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184" t="s">
        <v>261</v>
      </c>
      <c r="C9" s="133"/>
      <c r="D9" s="262"/>
      <c r="E9" s="262"/>
      <c r="F9" s="262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04" t="s">
        <v>112</v>
      </c>
      <c r="C10" s="267"/>
      <c r="D10" s="262"/>
      <c r="E10" s="262"/>
      <c r="F10" s="262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49"/>
      <c r="C11" s="249"/>
      <c r="D11" s="249"/>
      <c r="E11" s="249"/>
      <c r="F11" s="172"/>
      <c r="G11" s="22"/>
    </row>
    <row r="12" spans="2:62" s="27" customFormat="1" ht="18" customHeight="1">
      <c r="B12" s="572" t="s">
        <v>140</v>
      </c>
      <c r="C12" s="574">
        <v>2009</v>
      </c>
      <c r="D12" s="605">
        <v>2010</v>
      </c>
      <c r="E12" s="603">
        <v>2011</v>
      </c>
      <c r="F12" s="574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74">
        <v>2013</v>
      </c>
      <c r="S12" s="574">
        <v>2014</v>
      </c>
      <c r="T12" s="598">
        <v>2015</v>
      </c>
      <c r="U12" s="582">
        <v>2016</v>
      </c>
      <c r="V12" s="600">
        <v>2017</v>
      </c>
      <c r="W12" s="568">
        <v>2018</v>
      </c>
      <c r="X12" s="568">
        <v>2019</v>
      </c>
      <c r="Y12" s="568">
        <v>2020</v>
      </c>
      <c r="Z12" s="513">
        <v>2021</v>
      </c>
      <c r="AA12" s="514"/>
      <c r="AB12" s="514"/>
      <c r="AC12" s="514"/>
      <c r="AD12" s="514"/>
      <c r="AE12" s="514"/>
      <c r="AF12" s="514"/>
      <c r="AG12" s="514"/>
      <c r="AH12" s="514"/>
      <c r="AI12" s="514"/>
      <c r="AJ12" s="514"/>
      <c r="AK12" s="607">
        <v>2021</v>
      </c>
      <c r="AL12" s="531">
        <v>2022</v>
      </c>
      <c r="AM12" s="532"/>
      <c r="AN12" s="532"/>
      <c r="AO12" s="532"/>
      <c r="AP12" s="532"/>
      <c r="AQ12" s="532"/>
      <c r="AR12" s="532"/>
      <c r="AS12" s="532"/>
      <c r="AT12" s="532"/>
      <c r="AU12" s="532"/>
      <c r="AV12" s="532"/>
      <c r="AW12" s="607">
        <v>2022</v>
      </c>
      <c r="AX12" s="595">
        <v>2023</v>
      </c>
      <c r="AY12" s="596"/>
      <c r="AZ12" s="596"/>
      <c r="BA12" s="596"/>
      <c r="BB12" s="596"/>
      <c r="BC12" s="596"/>
      <c r="BD12" s="596"/>
      <c r="BE12" s="596"/>
      <c r="BF12" s="596"/>
      <c r="BG12" s="596"/>
      <c r="BH12" s="596"/>
      <c r="BI12" s="597"/>
      <c r="BJ12" s="483"/>
    </row>
    <row r="13" spans="2:62" s="27" customFormat="1" ht="18" customHeight="1">
      <c r="B13" s="573"/>
      <c r="C13" s="575"/>
      <c r="D13" s="606"/>
      <c r="E13" s="604"/>
      <c r="F13" s="575"/>
      <c r="G13" s="107" t="s">
        <v>97</v>
      </c>
      <c r="H13" s="107" t="s">
        <v>98</v>
      </c>
      <c r="I13" s="108" t="s">
        <v>103</v>
      </c>
      <c r="J13" s="108" t="s">
        <v>105</v>
      </c>
      <c r="K13" s="108" t="s">
        <v>109</v>
      </c>
      <c r="L13" s="108" t="s">
        <v>122</v>
      </c>
      <c r="M13" s="108" t="s">
        <v>141</v>
      </c>
      <c r="N13" s="108" t="s">
        <v>143</v>
      </c>
      <c r="O13" s="108" t="s">
        <v>145</v>
      </c>
      <c r="P13" s="108" t="s">
        <v>148</v>
      </c>
      <c r="Q13" s="108" t="s">
        <v>150</v>
      </c>
      <c r="R13" s="575"/>
      <c r="S13" s="575"/>
      <c r="T13" s="599"/>
      <c r="U13" s="583"/>
      <c r="V13" s="601"/>
      <c r="W13" s="569"/>
      <c r="X13" s="569"/>
      <c r="Y13" s="569"/>
      <c r="Z13" s="482" t="s">
        <v>97</v>
      </c>
      <c r="AA13" s="423" t="s">
        <v>98</v>
      </c>
      <c r="AB13" s="509" t="s">
        <v>103</v>
      </c>
      <c r="AC13" s="428" t="s">
        <v>105</v>
      </c>
      <c r="AD13" s="510" t="s">
        <v>230</v>
      </c>
      <c r="AE13" s="509" t="s">
        <v>122</v>
      </c>
      <c r="AF13" s="435" t="s">
        <v>141</v>
      </c>
      <c r="AG13" s="444" t="s">
        <v>143</v>
      </c>
      <c r="AH13" s="511" t="s">
        <v>240</v>
      </c>
      <c r="AI13" s="512" t="s">
        <v>148</v>
      </c>
      <c r="AJ13" s="435" t="s">
        <v>150</v>
      </c>
      <c r="AK13" s="608"/>
      <c r="AL13" s="482" t="s">
        <v>97</v>
      </c>
      <c r="AM13" s="423" t="s">
        <v>98</v>
      </c>
      <c r="AN13" s="427" t="s">
        <v>103</v>
      </c>
      <c r="AO13" s="428" t="s">
        <v>105</v>
      </c>
      <c r="AP13" s="433" t="s">
        <v>230</v>
      </c>
      <c r="AQ13" s="427" t="s">
        <v>122</v>
      </c>
      <c r="AR13" s="435" t="s">
        <v>141</v>
      </c>
      <c r="AS13" s="444" t="s">
        <v>143</v>
      </c>
      <c r="AT13" s="447" t="s">
        <v>240</v>
      </c>
      <c r="AU13" s="471" t="s">
        <v>148</v>
      </c>
      <c r="AV13" s="435" t="s">
        <v>150</v>
      </c>
      <c r="AW13" s="608"/>
      <c r="AX13" s="482" t="s">
        <v>97</v>
      </c>
      <c r="AY13" s="423" t="s">
        <v>98</v>
      </c>
      <c r="AZ13" s="427" t="s">
        <v>103</v>
      </c>
      <c r="BA13" s="428" t="s">
        <v>105</v>
      </c>
      <c r="BB13" s="433" t="s">
        <v>230</v>
      </c>
      <c r="BC13" s="427" t="s">
        <v>122</v>
      </c>
      <c r="BD13" s="435" t="s">
        <v>141</v>
      </c>
      <c r="BE13" s="444" t="s">
        <v>143</v>
      </c>
      <c r="BF13" s="447" t="s">
        <v>240</v>
      </c>
      <c r="BG13" s="471" t="s">
        <v>148</v>
      </c>
      <c r="BH13" s="435" t="s">
        <v>150</v>
      </c>
      <c r="BI13" s="470" t="s">
        <v>171</v>
      </c>
      <c r="BJ13" s="483"/>
    </row>
    <row r="14" spans="2:62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96"/>
      <c r="U14" s="399"/>
      <c r="V14" s="445"/>
      <c r="W14" s="472"/>
      <c r="X14" s="472"/>
      <c r="Y14" s="436"/>
      <c r="Z14" s="399"/>
      <c r="AA14" s="424"/>
      <c r="AB14" s="182"/>
      <c r="AC14" s="424"/>
      <c r="AD14" s="434"/>
      <c r="AE14" s="182"/>
      <c r="AF14" s="436"/>
      <c r="AG14" s="445"/>
      <c r="AH14" s="400"/>
      <c r="AI14" s="472"/>
      <c r="AJ14" s="436"/>
      <c r="AK14" s="436"/>
      <c r="AL14" s="399"/>
      <c r="AM14" s="424"/>
      <c r="AN14" s="182"/>
      <c r="AO14" s="424"/>
      <c r="AP14" s="434"/>
      <c r="AQ14" s="182"/>
      <c r="AR14" s="436"/>
      <c r="AS14" s="445"/>
      <c r="AT14" s="400"/>
      <c r="AU14" s="472"/>
      <c r="AV14" s="436"/>
      <c r="AW14" s="436"/>
      <c r="AX14" s="399"/>
      <c r="AY14" s="424"/>
      <c r="AZ14" s="182"/>
      <c r="BA14" s="424"/>
      <c r="BB14" s="434"/>
      <c r="BC14" s="182"/>
      <c r="BD14" s="436"/>
      <c r="BE14" s="445"/>
      <c r="BF14" s="400"/>
      <c r="BG14" s="472"/>
      <c r="BH14" s="436"/>
      <c r="BI14" s="436"/>
      <c r="BJ14" s="483"/>
    </row>
    <row r="15" spans="2:63" s="25" customFormat="1" ht="21.75" customHeight="1">
      <c r="B15" s="178" t="s">
        <v>34</v>
      </c>
      <c r="C15" s="477">
        <v>1389</v>
      </c>
      <c r="D15" s="477">
        <v>2144</v>
      </c>
      <c r="E15" s="475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397">
        <v>2258.8960634599985</v>
      </c>
      <c r="U15" s="401">
        <v>2931.5247573100005</v>
      </c>
      <c r="V15" s="425">
        <v>2816.8010528699997</v>
      </c>
      <c r="W15" s="473">
        <v>2585.67327702</v>
      </c>
      <c r="X15" s="473">
        <v>2512.4269972</v>
      </c>
      <c r="Y15" s="437">
        <v>2847.266591940001</v>
      </c>
      <c r="Z15" s="401">
        <v>2669.7649879099995</v>
      </c>
      <c r="AA15" s="425">
        <v>2280.8565583599984</v>
      </c>
      <c r="AB15" s="33">
        <v>2080.1915407399993</v>
      </c>
      <c r="AC15" s="425">
        <v>2002.289934100001</v>
      </c>
      <c r="AD15" s="397">
        <v>2000.7607678600002</v>
      </c>
      <c r="AE15" s="397">
        <v>1909.2826383400002</v>
      </c>
      <c r="AF15" s="473">
        <v>1829.166610660001</v>
      </c>
      <c r="AG15" s="473">
        <v>1874.6325798299988</v>
      </c>
      <c r="AH15" s="437">
        <v>1899.0710651699999</v>
      </c>
      <c r="AI15" s="473">
        <v>1939.514755</v>
      </c>
      <c r="AJ15" s="437">
        <v>1986.8050023</v>
      </c>
      <c r="AK15" s="437">
        <v>2166.44417054</v>
      </c>
      <c r="AL15" s="401">
        <v>2152.2243202</v>
      </c>
      <c r="AM15" s="425">
        <v>2129.8946967700003</v>
      </c>
      <c r="AN15" s="33">
        <v>2047.14908125</v>
      </c>
      <c r="AO15" s="425">
        <v>1935.69506788</v>
      </c>
      <c r="AP15" s="397">
        <v>2030.1634751700003</v>
      </c>
      <c r="AQ15" s="397">
        <v>2015.78099483</v>
      </c>
      <c r="AR15" s="473">
        <v>1975.9157757899998</v>
      </c>
      <c r="AS15" s="473">
        <v>2031.3514093</v>
      </c>
      <c r="AT15" s="437">
        <v>2010.12565047</v>
      </c>
      <c r="AU15" s="473">
        <v>1984.13708058</v>
      </c>
      <c r="AV15" s="437">
        <v>2045.5234255300002</v>
      </c>
      <c r="AW15" s="437">
        <v>2107.9011715799998</v>
      </c>
      <c r="AX15" s="401">
        <v>1980.47300011</v>
      </c>
      <c r="AY15" s="425">
        <v>1989.9581064699992</v>
      </c>
      <c r="AZ15" s="33">
        <v>1861.0959683699998</v>
      </c>
      <c r="BA15" s="425">
        <v>1931.8507315999998</v>
      </c>
      <c r="BB15" s="397">
        <v>1914.63034101</v>
      </c>
      <c r="BC15" s="397">
        <v>1900.96108086</v>
      </c>
      <c r="BD15" s="473">
        <v>1828.24982821</v>
      </c>
      <c r="BE15" s="473">
        <v>1825.68097081</v>
      </c>
      <c r="BF15" s="437">
        <v>0</v>
      </c>
      <c r="BG15" s="473">
        <v>0</v>
      </c>
      <c r="BH15" s="437">
        <v>0</v>
      </c>
      <c r="BI15" s="437">
        <v>0</v>
      </c>
      <c r="BJ15" s="504"/>
      <c r="BK15" s="457"/>
    </row>
    <row r="16" spans="2:63" s="25" customFormat="1" ht="21.75" customHeight="1">
      <c r="B16" s="178" t="s">
        <v>33</v>
      </c>
      <c r="C16" s="477">
        <v>256</v>
      </c>
      <c r="D16" s="477">
        <v>389</v>
      </c>
      <c r="E16" s="475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397">
        <v>4201.51382237</v>
      </c>
      <c r="U16" s="401">
        <v>4539.076503679999</v>
      </c>
      <c r="V16" s="425">
        <v>5985.46242653</v>
      </c>
      <c r="W16" s="473">
        <v>7233.929935290001</v>
      </c>
      <c r="X16" s="473">
        <v>6012.22120457</v>
      </c>
      <c r="Y16" s="437">
        <v>6614.97187366</v>
      </c>
      <c r="Z16" s="401">
        <v>6532.3018552</v>
      </c>
      <c r="AA16" s="425">
        <v>6254.41370703</v>
      </c>
      <c r="AB16" s="33">
        <v>6211.728456299999</v>
      </c>
      <c r="AC16" s="425">
        <v>6174.95095902</v>
      </c>
      <c r="AD16" s="397">
        <v>7204.2090273799995</v>
      </c>
      <c r="AE16" s="397">
        <v>7147.625556479999</v>
      </c>
      <c r="AF16" s="473">
        <v>7128.95570324</v>
      </c>
      <c r="AG16" s="473">
        <v>7137.063251669999</v>
      </c>
      <c r="AH16" s="437">
        <v>7162.63829835</v>
      </c>
      <c r="AI16" s="473">
        <v>7256.429646359999</v>
      </c>
      <c r="AJ16" s="437">
        <v>7243.23665188</v>
      </c>
      <c r="AK16" s="437">
        <v>7402.06335374</v>
      </c>
      <c r="AL16" s="401">
        <v>7364.97449206</v>
      </c>
      <c r="AM16" s="425">
        <v>7164.30753646</v>
      </c>
      <c r="AN16" s="33">
        <v>7154.238466520001</v>
      </c>
      <c r="AO16" s="425">
        <v>7309.09406754</v>
      </c>
      <c r="AP16" s="397">
        <v>7179.37547441</v>
      </c>
      <c r="AQ16" s="397">
        <v>7042.059833729999</v>
      </c>
      <c r="AR16" s="473">
        <v>7150.61353248</v>
      </c>
      <c r="AS16" s="473">
        <v>7170.286449939999</v>
      </c>
      <c r="AT16" s="437">
        <v>7142.417474749999</v>
      </c>
      <c r="AU16" s="473">
        <v>7456.628515699999</v>
      </c>
      <c r="AV16" s="437">
        <v>7473.773917119999</v>
      </c>
      <c r="AW16" s="437">
        <v>7665.39460745</v>
      </c>
      <c r="AX16" s="401">
        <v>7369.57041976</v>
      </c>
      <c r="AY16" s="425">
        <v>7222.3523399900005</v>
      </c>
      <c r="AZ16" s="33">
        <v>7411.5130261</v>
      </c>
      <c r="BA16" s="425">
        <v>7395.63876287</v>
      </c>
      <c r="BB16" s="397">
        <v>7333.8997172300005</v>
      </c>
      <c r="BC16" s="397">
        <v>7284.63194929</v>
      </c>
      <c r="BD16" s="473">
        <v>7377.4361053</v>
      </c>
      <c r="BE16" s="473">
        <v>7629.45213082</v>
      </c>
      <c r="BF16" s="437">
        <v>0</v>
      </c>
      <c r="BG16" s="473">
        <v>0</v>
      </c>
      <c r="BH16" s="437">
        <v>0</v>
      </c>
      <c r="BI16" s="437">
        <v>0</v>
      </c>
      <c r="BJ16" s="505"/>
      <c r="BK16" s="457"/>
    </row>
    <row r="17" spans="2:62" s="25" customFormat="1" ht="6" customHeight="1">
      <c r="B17" s="179"/>
      <c r="C17" s="478"/>
      <c r="D17" s="478"/>
      <c r="E17" s="476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98"/>
      <c r="U17" s="402"/>
      <c r="V17" s="446"/>
      <c r="W17" s="474"/>
      <c r="X17" s="474"/>
      <c r="Y17" s="438"/>
      <c r="Z17" s="402"/>
      <c r="AA17" s="426"/>
      <c r="AB17" s="35"/>
      <c r="AC17" s="426"/>
      <c r="AD17" s="398"/>
      <c r="AE17" s="398"/>
      <c r="AF17" s="474"/>
      <c r="AG17" s="474"/>
      <c r="AH17" s="438"/>
      <c r="AI17" s="474"/>
      <c r="AJ17" s="438"/>
      <c r="AK17" s="438"/>
      <c r="AL17" s="402"/>
      <c r="AM17" s="426"/>
      <c r="AN17" s="35"/>
      <c r="AO17" s="426"/>
      <c r="AP17" s="398"/>
      <c r="AQ17" s="398"/>
      <c r="AR17" s="474"/>
      <c r="AS17" s="474"/>
      <c r="AT17" s="438"/>
      <c r="AU17" s="474"/>
      <c r="AV17" s="438"/>
      <c r="AW17" s="438"/>
      <c r="AX17" s="402"/>
      <c r="AY17" s="426"/>
      <c r="AZ17" s="35"/>
      <c r="BA17" s="426"/>
      <c r="BB17" s="398"/>
      <c r="BC17" s="398"/>
      <c r="BD17" s="474"/>
      <c r="BE17" s="474"/>
      <c r="BF17" s="438"/>
      <c r="BG17" s="474"/>
      <c r="BH17" s="438"/>
      <c r="BI17" s="438"/>
      <c r="BJ17" s="484"/>
    </row>
    <row r="18" spans="2:62" s="27" customFormat="1" ht="15" customHeight="1">
      <c r="B18" s="587" t="s">
        <v>99</v>
      </c>
      <c r="C18" s="589">
        <f aca="true" t="shared" si="0" ref="C18:H18">SUM(C15:C16)</f>
        <v>1645</v>
      </c>
      <c r="D18" s="589">
        <f t="shared" si="0"/>
        <v>2533</v>
      </c>
      <c r="E18" s="580">
        <f t="shared" si="0"/>
        <v>2778</v>
      </c>
      <c r="F18" s="589">
        <f t="shared" si="0"/>
        <v>3231.62940566</v>
      </c>
      <c r="G18" s="591">
        <f t="shared" si="0"/>
        <v>3978.2822575499995</v>
      </c>
      <c r="H18" s="591">
        <f t="shared" si="0"/>
        <v>4283.16118678</v>
      </c>
      <c r="I18" s="578">
        <f aca="true" t="shared" si="1" ref="I18:N18">SUM(I15:I16)</f>
        <v>4271.37034379</v>
      </c>
      <c r="J18" s="578">
        <f t="shared" si="1"/>
        <v>3622.58121752</v>
      </c>
      <c r="K18" s="578">
        <f t="shared" si="1"/>
        <v>3177.2183911999996</v>
      </c>
      <c r="L18" s="578">
        <f t="shared" si="1"/>
        <v>3224.1298934800006</v>
      </c>
      <c r="M18" s="578">
        <f t="shared" si="1"/>
        <v>3273.10540427</v>
      </c>
      <c r="N18" s="578">
        <f t="shared" si="1"/>
        <v>3382.31552197</v>
      </c>
      <c r="O18" s="578">
        <f>+O15+O16</f>
        <v>3510.4566990000008</v>
      </c>
      <c r="P18" s="578">
        <f>+P15+P16</f>
        <v>3663.6902058299997</v>
      </c>
      <c r="Q18" s="578">
        <f>+Q15+Q16</f>
        <v>3934.70126796</v>
      </c>
      <c r="R18" s="578">
        <f>+R15+R16</f>
        <v>4098.53643417</v>
      </c>
      <c r="S18" s="578">
        <f>+S15+S16</f>
        <v>5844.665124709998</v>
      </c>
      <c r="T18" s="584">
        <f aca="true" t="shared" si="2" ref="T18:Y18">+T16+T15</f>
        <v>6460.4098858299985</v>
      </c>
      <c r="U18" s="593">
        <f t="shared" si="2"/>
        <v>7470.60126099</v>
      </c>
      <c r="V18" s="584">
        <f t="shared" si="2"/>
        <v>8802.2634794</v>
      </c>
      <c r="W18" s="570">
        <f t="shared" si="2"/>
        <v>9819.603212310001</v>
      </c>
      <c r="X18" s="570">
        <f t="shared" si="2"/>
        <v>8524.64820177</v>
      </c>
      <c r="Y18" s="576">
        <f t="shared" si="2"/>
        <v>9462.238465600001</v>
      </c>
      <c r="Z18" s="570">
        <f aca="true" t="shared" si="3" ref="Z18:AJ18">+Z16+Z15</f>
        <v>9202.06684311</v>
      </c>
      <c r="AA18" s="580">
        <f t="shared" si="3"/>
        <v>8535.270265389998</v>
      </c>
      <c r="AB18" s="593">
        <f t="shared" si="3"/>
        <v>8291.919997039999</v>
      </c>
      <c r="AC18" s="580">
        <f t="shared" si="3"/>
        <v>8177.240893120001</v>
      </c>
      <c r="AD18" s="584">
        <f t="shared" si="3"/>
        <v>9204.96979524</v>
      </c>
      <c r="AE18" s="593">
        <f t="shared" si="3"/>
        <v>9056.90819482</v>
      </c>
      <c r="AF18" s="576">
        <f t="shared" si="3"/>
        <v>8958.122313900001</v>
      </c>
      <c r="AG18" s="584">
        <f t="shared" si="3"/>
        <v>9011.695831499997</v>
      </c>
      <c r="AH18" s="578">
        <f t="shared" si="3"/>
        <v>9061.70936352</v>
      </c>
      <c r="AI18" s="570">
        <f t="shared" si="3"/>
        <v>9195.944401359999</v>
      </c>
      <c r="AJ18" s="576">
        <f t="shared" si="3"/>
        <v>9230.04165418</v>
      </c>
      <c r="AK18" s="576">
        <f>+AK16+AK15</f>
        <v>9568.50752428</v>
      </c>
      <c r="AL18" s="570">
        <f aca="true" t="shared" si="4" ref="AL18:AV18">+AL16+AL15</f>
        <v>9517.19881226</v>
      </c>
      <c r="AM18" s="580">
        <f t="shared" si="4"/>
        <v>9294.20223323</v>
      </c>
      <c r="AN18" s="593">
        <f t="shared" si="4"/>
        <v>9201.38754777</v>
      </c>
      <c r="AO18" s="580">
        <f t="shared" si="4"/>
        <v>9244.78913542</v>
      </c>
      <c r="AP18" s="584">
        <f t="shared" si="4"/>
        <v>9209.538949580001</v>
      </c>
      <c r="AQ18" s="593">
        <f t="shared" si="4"/>
        <v>9057.840828559998</v>
      </c>
      <c r="AR18" s="576">
        <f t="shared" si="4"/>
        <v>9126.52930827</v>
      </c>
      <c r="AS18" s="584">
        <f t="shared" si="4"/>
        <v>9201.63785924</v>
      </c>
      <c r="AT18" s="578">
        <f t="shared" si="4"/>
        <v>9152.54312522</v>
      </c>
      <c r="AU18" s="570">
        <f t="shared" si="4"/>
        <v>9440.76559628</v>
      </c>
      <c r="AV18" s="576">
        <f t="shared" si="4"/>
        <v>9519.29734265</v>
      </c>
      <c r="AW18" s="576">
        <f aca="true" t="shared" si="5" ref="AW18:BB18">+AW16+AW15</f>
        <v>9773.295779029999</v>
      </c>
      <c r="AX18" s="570">
        <f t="shared" si="5"/>
        <v>9350.04341987</v>
      </c>
      <c r="AY18" s="580">
        <f t="shared" si="5"/>
        <v>9212.31044646</v>
      </c>
      <c r="AZ18" s="593">
        <f t="shared" si="5"/>
        <v>9272.60899447</v>
      </c>
      <c r="BA18" s="580">
        <f t="shared" si="5"/>
        <v>9327.48949447</v>
      </c>
      <c r="BB18" s="584">
        <f t="shared" si="5"/>
        <v>9248.530058240001</v>
      </c>
      <c r="BC18" s="593">
        <f aca="true" t="shared" si="6" ref="BC18:BH18">+BC16+BC15</f>
        <v>9185.593030150001</v>
      </c>
      <c r="BD18" s="576">
        <f t="shared" si="6"/>
        <v>9205.68593351</v>
      </c>
      <c r="BE18" s="584">
        <f t="shared" si="6"/>
        <v>9455.13310163</v>
      </c>
      <c r="BF18" s="578">
        <f t="shared" si="6"/>
        <v>0</v>
      </c>
      <c r="BG18" s="570">
        <f t="shared" si="6"/>
        <v>0</v>
      </c>
      <c r="BH18" s="576">
        <f t="shared" si="6"/>
        <v>0</v>
      </c>
      <c r="BI18" s="576">
        <f>+BI16+BI15</f>
        <v>0</v>
      </c>
      <c r="BJ18" s="483"/>
    </row>
    <row r="19" spans="2:63" s="27" customFormat="1" ht="15" customHeight="1">
      <c r="B19" s="588"/>
      <c r="C19" s="590"/>
      <c r="D19" s="590"/>
      <c r="E19" s="581"/>
      <c r="F19" s="590"/>
      <c r="G19" s="592"/>
      <c r="H19" s="592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85"/>
      <c r="U19" s="594"/>
      <c r="V19" s="585"/>
      <c r="W19" s="571"/>
      <c r="X19" s="571"/>
      <c r="Y19" s="577"/>
      <c r="Z19" s="571"/>
      <c r="AA19" s="581"/>
      <c r="AB19" s="594"/>
      <c r="AC19" s="581"/>
      <c r="AD19" s="585"/>
      <c r="AE19" s="594"/>
      <c r="AF19" s="577"/>
      <c r="AG19" s="585"/>
      <c r="AH19" s="579"/>
      <c r="AI19" s="571"/>
      <c r="AJ19" s="577"/>
      <c r="AK19" s="577"/>
      <c r="AL19" s="571"/>
      <c r="AM19" s="581"/>
      <c r="AN19" s="594"/>
      <c r="AO19" s="581"/>
      <c r="AP19" s="585"/>
      <c r="AQ19" s="594"/>
      <c r="AR19" s="577"/>
      <c r="AS19" s="585"/>
      <c r="AT19" s="579"/>
      <c r="AU19" s="571"/>
      <c r="AV19" s="577"/>
      <c r="AW19" s="577"/>
      <c r="AX19" s="571"/>
      <c r="AY19" s="581"/>
      <c r="AZ19" s="594"/>
      <c r="BA19" s="581"/>
      <c r="BB19" s="585"/>
      <c r="BC19" s="594"/>
      <c r="BD19" s="577"/>
      <c r="BE19" s="585"/>
      <c r="BF19" s="579"/>
      <c r="BG19" s="571"/>
      <c r="BH19" s="577"/>
      <c r="BI19" s="577"/>
      <c r="BJ19" s="483"/>
      <c r="BK19" s="457"/>
    </row>
    <row r="20" spans="2:7" ht="7.5" customHeight="1">
      <c r="B20" s="36"/>
      <c r="C20" s="37"/>
      <c r="D20" s="37"/>
      <c r="E20" s="37"/>
      <c r="F20" s="37"/>
      <c r="G20" s="37"/>
    </row>
    <row r="21" spans="2:54" ht="7.5" customHeight="1">
      <c r="B21" s="36"/>
      <c r="C21" s="37"/>
      <c r="D21" s="37"/>
      <c r="E21" s="37"/>
      <c r="F21" s="37"/>
      <c r="G21" s="37"/>
      <c r="T21" s="180"/>
      <c r="U21" s="180"/>
      <c r="V21" s="180"/>
      <c r="AP21" s="516"/>
      <c r="BB21" s="516"/>
    </row>
    <row r="22" spans="2:61" s="25" customFormat="1" ht="28.5" customHeight="1">
      <c r="B22" s="586"/>
      <c r="C22" s="586"/>
      <c r="D22" s="586"/>
      <c r="E22" s="586"/>
      <c r="F22" s="586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202"/>
      <c r="X22" s="202"/>
      <c r="Y22" s="202"/>
      <c r="Z22" s="188"/>
      <c r="AA22" s="188"/>
      <c r="AB22" s="188"/>
      <c r="AC22" s="202"/>
      <c r="AD22" s="494"/>
      <c r="AE22" s="202"/>
      <c r="AF22" s="202"/>
      <c r="AG22" s="202"/>
      <c r="AH22" s="202"/>
      <c r="AI22" s="202"/>
      <c r="AJ22" s="202"/>
      <c r="AK22" s="202"/>
      <c r="AL22" s="188"/>
      <c r="AM22" s="188"/>
      <c r="AN22" s="188"/>
      <c r="AO22" s="202"/>
      <c r="AP22" s="494"/>
      <c r="AQ22" s="202"/>
      <c r="AR22" s="524"/>
      <c r="AS22" s="202"/>
      <c r="AT22" s="202"/>
      <c r="AU22" s="202"/>
      <c r="AV22" s="202"/>
      <c r="AW22" s="202"/>
      <c r="AX22" s="188"/>
      <c r="AY22" s="188"/>
      <c r="AZ22" s="188"/>
      <c r="BA22" s="202"/>
      <c r="BB22" s="494"/>
      <c r="BC22" s="202"/>
      <c r="BD22" s="524"/>
      <c r="BE22" s="202"/>
      <c r="BF22" s="202"/>
      <c r="BG22" s="202"/>
      <c r="BH22" s="202"/>
      <c r="BI22" s="202"/>
    </row>
    <row r="23" spans="2:61" s="25" customFormat="1" ht="28.5" customHeight="1">
      <c r="B23" s="586"/>
      <c r="C23" s="586"/>
      <c r="D23" s="586"/>
      <c r="E23" s="586"/>
      <c r="F23" s="586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492"/>
      <c r="AD23" s="494"/>
      <c r="AF23" s="202"/>
      <c r="AG23" s="494"/>
      <c r="AK23" s="492"/>
      <c r="AN23" s="492"/>
      <c r="AP23" s="494"/>
      <c r="AR23" s="202"/>
      <c r="AS23" s="525"/>
      <c r="AV23" s="494"/>
      <c r="AW23" s="492"/>
      <c r="AZ23" s="492"/>
      <c r="BB23" s="494"/>
      <c r="BD23" s="202"/>
      <c r="BE23" s="525"/>
      <c r="BH23" s="494"/>
      <c r="BI23" s="492"/>
    </row>
    <row r="24" spans="2:56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F24" s="202"/>
      <c r="AR24" s="202"/>
      <c r="BD24" s="202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80">
    <mergeCell ref="AU18:AU19"/>
    <mergeCell ref="AV18:AV19"/>
    <mergeCell ref="AW18:AW19"/>
    <mergeCell ref="AW12:AW13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K12:AK13"/>
    <mergeCell ref="AF18:AF19"/>
    <mergeCell ref="AG18:AG19"/>
    <mergeCell ref="AH18:AH19"/>
    <mergeCell ref="AI18:AI19"/>
    <mergeCell ref="AJ18:AJ19"/>
    <mergeCell ref="AK18:AK19"/>
    <mergeCell ref="Z18:Z19"/>
    <mergeCell ref="AA18:AA19"/>
    <mergeCell ref="AB18:AB19"/>
    <mergeCell ref="AC18:AC19"/>
    <mergeCell ref="AD18:AD19"/>
    <mergeCell ref="AE18:AE19"/>
    <mergeCell ref="Y18:Y19"/>
    <mergeCell ref="Y12:Y13"/>
    <mergeCell ref="B2:F2"/>
    <mergeCell ref="B3:F3"/>
    <mergeCell ref="E12:E13"/>
    <mergeCell ref="U18:U19"/>
    <mergeCell ref="D12:D13"/>
    <mergeCell ref="O18:O19"/>
    <mergeCell ref="L18:L19"/>
    <mergeCell ref="P18:P19"/>
    <mergeCell ref="BD18:BD19"/>
    <mergeCell ref="AX12:BI12"/>
    <mergeCell ref="BB18:BB19"/>
    <mergeCell ref="AX18:AX19"/>
    <mergeCell ref="T12:T13"/>
    <mergeCell ref="BC18:BC19"/>
    <mergeCell ref="X12:X13"/>
    <mergeCell ref="X18:X19"/>
    <mergeCell ref="V12:V13"/>
    <mergeCell ref="V18:V19"/>
    <mergeCell ref="AZ18:AZ19"/>
    <mergeCell ref="BH18:BH19"/>
    <mergeCell ref="BG18:BG19"/>
    <mergeCell ref="H18:H19"/>
    <mergeCell ref="I18:I19"/>
    <mergeCell ref="Q18:Q19"/>
    <mergeCell ref="R18:R19"/>
    <mergeCell ref="BA18:BA19"/>
    <mergeCell ref="T18:T19"/>
    <mergeCell ref="BF18:BF19"/>
    <mergeCell ref="B23:F23"/>
    <mergeCell ref="B18:B19"/>
    <mergeCell ref="C18:C19"/>
    <mergeCell ref="D18:D19"/>
    <mergeCell ref="E18:E19"/>
    <mergeCell ref="G18:G19"/>
    <mergeCell ref="B22:F22"/>
    <mergeCell ref="F18:F19"/>
    <mergeCell ref="BI18:BI19"/>
    <mergeCell ref="J18:J19"/>
    <mergeCell ref="S18:S19"/>
    <mergeCell ref="N18:N19"/>
    <mergeCell ref="S12:S13"/>
    <mergeCell ref="K18:K19"/>
    <mergeCell ref="AY18:AY19"/>
    <mergeCell ref="U12:U13"/>
    <mergeCell ref="M18:M19"/>
    <mergeCell ref="BE18:BE19"/>
    <mergeCell ref="W12:W13"/>
    <mergeCell ref="W18:W19"/>
    <mergeCell ref="B12:B13"/>
    <mergeCell ref="C12:C13"/>
    <mergeCell ref="F12:F13"/>
    <mergeCell ref="R12:R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2"/>
    </row>
    <row r="2" spans="2:14" s="1" customFormat="1" ht="13.5" customHeight="1">
      <c r="B2" s="602"/>
      <c r="C2" s="602"/>
      <c r="D2" s="602"/>
      <c r="E2" s="171"/>
      <c r="F2" s="352"/>
      <c r="G2" s="171"/>
      <c r="H2" s="171"/>
      <c r="I2" s="171"/>
      <c r="J2" s="171"/>
      <c r="M2" s="226"/>
      <c r="N2" s="226"/>
    </row>
    <row r="3" spans="2:14" s="1" customFormat="1" ht="13.5" customHeight="1">
      <c r="B3" s="602"/>
      <c r="C3" s="602"/>
      <c r="D3" s="602"/>
      <c r="E3" s="171"/>
      <c r="F3" s="352"/>
      <c r="G3" s="171"/>
      <c r="H3" s="171"/>
      <c r="I3" s="171"/>
      <c r="J3" s="171"/>
      <c r="M3" s="226"/>
      <c r="N3" s="226"/>
    </row>
    <row r="4" spans="2:14" s="1" customFormat="1" ht="18">
      <c r="B4" s="602"/>
      <c r="C4" s="602"/>
      <c r="D4" s="602"/>
      <c r="E4" s="171"/>
      <c r="F4" s="352"/>
      <c r="G4" s="171"/>
      <c r="H4" s="171"/>
      <c r="I4" s="171"/>
      <c r="J4" s="171"/>
      <c r="M4" s="226"/>
      <c r="N4" s="226"/>
    </row>
    <row r="5" spans="2:14" s="13" customFormat="1" ht="18">
      <c r="B5" s="129" t="s">
        <v>12</v>
      </c>
      <c r="C5" s="129"/>
      <c r="D5" s="129"/>
      <c r="E5" s="171"/>
      <c r="F5" s="352"/>
      <c r="H5" s="171"/>
      <c r="I5" s="278"/>
      <c r="J5" s="171"/>
      <c r="M5" s="227"/>
      <c r="N5" s="227"/>
    </row>
    <row r="6" spans="2:7" ht="18">
      <c r="B6" s="317" t="s">
        <v>135</v>
      </c>
      <c r="C6" s="317"/>
      <c r="D6" s="317"/>
      <c r="F6" s="352"/>
      <c r="G6" s="277"/>
    </row>
    <row r="7" spans="2:7" ht="18">
      <c r="B7" s="317" t="s">
        <v>134</v>
      </c>
      <c r="C7" s="317"/>
      <c r="D7" s="317"/>
      <c r="F7" s="352"/>
      <c r="G7" s="279"/>
    </row>
    <row r="8" spans="2:6" ht="15.75">
      <c r="B8" s="184" t="s">
        <v>152</v>
      </c>
      <c r="C8" s="184"/>
      <c r="D8" s="184"/>
      <c r="F8" s="352"/>
    </row>
    <row r="9" spans="2:14" s="3" customFormat="1" ht="15.75">
      <c r="B9" s="133" t="s">
        <v>257</v>
      </c>
      <c r="C9" s="267"/>
      <c r="D9" s="137"/>
      <c r="E9" s="316">
        <f>+Portada!H39</f>
        <v>3.699</v>
      </c>
      <c r="F9" s="141"/>
      <c r="G9" s="280"/>
      <c r="H9" s="281"/>
      <c r="I9" s="203"/>
      <c r="J9" s="203"/>
      <c r="M9" s="229"/>
      <c r="N9" s="229"/>
    </row>
    <row r="10" spans="2:6" ht="9.75" customHeight="1">
      <c r="B10" s="184"/>
      <c r="C10" s="184"/>
      <c r="D10" s="184"/>
      <c r="F10" s="352"/>
    </row>
    <row r="11" spans="2:12" ht="18.75" customHeight="1">
      <c r="B11" s="613" t="s">
        <v>155</v>
      </c>
      <c r="C11" s="609" t="s">
        <v>86</v>
      </c>
      <c r="D11" s="609" t="s">
        <v>163</v>
      </c>
      <c r="E11" s="318"/>
      <c r="F11" s="326"/>
      <c r="G11" s="318"/>
      <c r="H11" s="318"/>
      <c r="I11" s="318"/>
      <c r="J11" s="318"/>
      <c r="K11" s="319"/>
      <c r="L11" s="319"/>
    </row>
    <row r="12" spans="2:12" ht="18.75" customHeight="1">
      <c r="B12" s="614"/>
      <c r="C12" s="610"/>
      <c r="D12" s="610"/>
      <c r="E12" s="318"/>
      <c r="F12" s="326"/>
      <c r="G12" s="318"/>
      <c r="H12" s="318"/>
      <c r="I12" s="318"/>
      <c r="J12" s="318"/>
      <c r="K12" s="319"/>
      <c r="L12" s="319"/>
    </row>
    <row r="13" spans="2:14" s="16" customFormat="1" ht="9.75" customHeight="1">
      <c r="B13" s="253"/>
      <c r="C13" s="173"/>
      <c r="D13" s="174"/>
      <c r="E13" s="318"/>
      <c r="F13" s="353"/>
      <c r="G13" s="320"/>
      <c r="H13" s="320"/>
      <c r="I13" s="320"/>
      <c r="J13" s="318"/>
      <c r="K13" s="320"/>
      <c r="L13" s="320"/>
      <c r="M13" s="230"/>
      <c r="N13" s="230"/>
    </row>
    <row r="14" spans="2:14" s="13" customFormat="1" ht="19.5" customHeight="1">
      <c r="B14" s="67" t="s">
        <v>19</v>
      </c>
      <c r="C14" s="461">
        <f>SUM(C15:C16)</f>
        <v>1423425.0743</v>
      </c>
      <c r="D14" s="459">
        <f>SUM(D15:D16)</f>
        <v>5265249.34984</v>
      </c>
      <c r="E14" s="318"/>
      <c r="F14" s="485"/>
      <c r="G14" s="321"/>
      <c r="H14" s="321"/>
      <c r="I14" s="321"/>
      <c r="J14" s="318"/>
      <c r="K14" s="318"/>
      <c r="L14" s="318"/>
      <c r="M14" s="225"/>
      <c r="N14" s="225"/>
    </row>
    <row r="15" spans="2:14" s="13" customFormat="1" ht="16.5" customHeight="1">
      <c r="B15" s="68" t="s">
        <v>25</v>
      </c>
      <c r="C15" s="460">
        <v>914571.06545</v>
      </c>
      <c r="D15" s="460">
        <f>ROUND(+C15*$E$9,5)</f>
        <v>3382998.3711</v>
      </c>
      <c r="E15" s="322"/>
      <c r="F15" s="456"/>
      <c r="G15" s="321"/>
      <c r="H15" s="321"/>
      <c r="I15" s="321"/>
      <c r="J15" s="318"/>
      <c r="K15" s="322"/>
      <c r="L15" s="323"/>
      <c r="M15" s="232"/>
      <c r="N15" s="225"/>
    </row>
    <row r="16" spans="2:14" s="13" customFormat="1" ht="16.5" customHeight="1">
      <c r="B16" s="68" t="s">
        <v>24</v>
      </c>
      <c r="C16" s="460">
        <v>508854.00885</v>
      </c>
      <c r="D16" s="460">
        <f>ROUND(+C16*$E$9,5)</f>
        <v>1882250.97874</v>
      </c>
      <c r="E16" s="322"/>
      <c r="F16" s="456"/>
      <c r="G16" s="321"/>
      <c r="H16" s="321"/>
      <c r="I16" s="321"/>
      <c r="J16" s="318"/>
      <c r="K16" s="318"/>
      <c r="L16" s="323"/>
      <c r="M16" s="232"/>
      <c r="N16" s="225"/>
    </row>
    <row r="17" spans="2:14" s="13" customFormat="1" ht="15" customHeight="1">
      <c r="B17" s="15"/>
      <c r="C17" s="462"/>
      <c r="D17" s="460"/>
      <c r="E17" s="318"/>
      <c r="F17" s="429"/>
      <c r="G17" s="321"/>
      <c r="H17" s="321"/>
      <c r="I17" s="321"/>
      <c r="J17" s="318"/>
      <c r="K17" s="322"/>
      <c r="L17" s="323"/>
      <c r="M17" s="232"/>
      <c r="N17" s="225"/>
    </row>
    <row r="18" spans="2:14" s="13" customFormat="1" ht="19.5" customHeight="1">
      <c r="B18" s="18" t="s">
        <v>20</v>
      </c>
      <c r="C18" s="461">
        <f>SUM(C19:C20)</f>
        <v>7426995.05972</v>
      </c>
      <c r="D18" s="459">
        <f>SUM(D19:D20)</f>
        <v>27472454.7259</v>
      </c>
      <c r="E18" s="318"/>
      <c r="F18" s="485"/>
      <c r="G18" s="321"/>
      <c r="H18" s="321"/>
      <c r="I18" s="321"/>
      <c r="J18" s="318"/>
      <c r="K18" s="318"/>
      <c r="L18" s="322"/>
      <c r="M18" s="225"/>
      <c r="N18" s="225"/>
    </row>
    <row r="19" spans="2:14" s="13" customFormat="1" ht="16.5" customHeight="1">
      <c r="B19" s="15" t="s">
        <v>25</v>
      </c>
      <c r="C19" s="460">
        <v>3343661.7264099997</v>
      </c>
      <c r="D19" s="460">
        <f>ROUND(+C19*$E$9,5)</f>
        <v>12368204.72599</v>
      </c>
      <c r="E19" s="318"/>
      <c r="F19" s="355"/>
      <c r="G19" s="321"/>
      <c r="H19" s="321"/>
      <c r="I19" s="321"/>
      <c r="J19" s="318"/>
      <c r="K19" s="322"/>
      <c r="L19" s="323"/>
      <c r="M19" s="232"/>
      <c r="N19" s="225"/>
    </row>
    <row r="20" spans="2:14" s="13" customFormat="1" ht="16.5" customHeight="1">
      <c r="B20" s="15" t="s">
        <v>110</v>
      </c>
      <c r="C20" s="460">
        <v>4083333.33331</v>
      </c>
      <c r="D20" s="460">
        <f>ROUND(+C20*$E$9,5)</f>
        <v>15104249.99991</v>
      </c>
      <c r="E20" s="318"/>
      <c r="F20" s="356"/>
      <c r="G20" s="321"/>
      <c r="H20" s="321"/>
      <c r="I20" s="321"/>
      <c r="J20" s="318"/>
      <c r="K20" s="322"/>
      <c r="L20" s="323"/>
      <c r="M20" s="232"/>
      <c r="N20" s="225"/>
    </row>
    <row r="21" spans="2:14" s="13" customFormat="1" ht="9.75" customHeight="1">
      <c r="B21" s="15"/>
      <c r="C21" s="462"/>
      <c r="D21" s="460"/>
      <c r="E21" s="318"/>
      <c r="F21" s="357"/>
      <c r="G21" s="321"/>
      <c r="H21" s="321"/>
      <c r="I21" s="321"/>
      <c r="J21" s="318"/>
      <c r="K21" s="322"/>
      <c r="L21" s="322"/>
      <c r="M21" s="225"/>
      <c r="N21" s="225"/>
    </row>
    <row r="22" spans="2:14" s="13" customFormat="1" ht="15" customHeight="1">
      <c r="B22" s="615" t="s">
        <v>60</v>
      </c>
      <c r="C22" s="611">
        <f>+C18+C14</f>
        <v>8850420.13402</v>
      </c>
      <c r="D22" s="611">
        <f>+D18+D14</f>
        <v>32737704.075740002</v>
      </c>
      <c r="E22" s="318"/>
      <c r="F22" s="354"/>
      <c r="G22" s="321"/>
      <c r="H22" s="321"/>
      <c r="I22" s="321"/>
      <c r="J22" s="318"/>
      <c r="K22" s="318"/>
      <c r="L22" s="318"/>
      <c r="M22" s="225"/>
      <c r="N22" s="225"/>
    </row>
    <row r="23" spans="2:14" s="16" customFormat="1" ht="15" customHeight="1">
      <c r="B23" s="616"/>
      <c r="C23" s="612"/>
      <c r="D23" s="612"/>
      <c r="E23" s="318"/>
      <c r="F23" s="357"/>
      <c r="G23" s="321"/>
      <c r="H23" s="320"/>
      <c r="I23" s="320"/>
      <c r="J23" s="318"/>
      <c r="K23" s="318"/>
      <c r="L23" s="324"/>
      <c r="M23" s="233"/>
      <c r="N23" s="225"/>
    </row>
    <row r="24" spans="2:14" ht="14.25">
      <c r="B24" s="333"/>
      <c r="C24" s="528"/>
      <c r="D24" s="319"/>
      <c r="E24" s="318"/>
      <c r="F24" s="357"/>
      <c r="G24" s="321"/>
      <c r="H24" s="318"/>
      <c r="I24" s="318"/>
      <c r="J24" s="318"/>
      <c r="K24" s="325"/>
      <c r="L24" s="325"/>
      <c r="M24" s="225"/>
      <c r="N24" s="225"/>
    </row>
    <row r="25" spans="2:14" ht="14.25">
      <c r="B25" s="334"/>
      <c r="C25" s="204"/>
      <c r="D25" s="335"/>
      <c r="E25" s="326"/>
      <c r="F25" s="358"/>
      <c r="G25" s="321"/>
      <c r="H25" s="318"/>
      <c r="I25" s="318"/>
      <c r="J25" s="318"/>
      <c r="K25" s="318"/>
      <c r="L25" s="327"/>
      <c r="M25" s="225"/>
      <c r="N25" s="225"/>
    </row>
    <row r="26" spans="2:14" ht="14.25">
      <c r="B26" s="333"/>
      <c r="C26" s="523"/>
      <c r="D26" s="336"/>
      <c r="E26" s="318"/>
      <c r="F26" s="358"/>
      <c r="G26" s="321"/>
      <c r="H26" s="318"/>
      <c r="I26" s="318"/>
      <c r="J26" s="318"/>
      <c r="K26" s="326"/>
      <c r="L26" s="322"/>
      <c r="M26" s="231"/>
      <c r="N26" s="225"/>
    </row>
    <row r="27" spans="2:14" ht="14.25">
      <c r="B27" s="319"/>
      <c r="D27" s="337"/>
      <c r="E27" s="318"/>
      <c r="F27" s="358"/>
      <c r="G27" s="321"/>
      <c r="H27" s="318"/>
      <c r="I27" s="318"/>
      <c r="J27" s="318"/>
      <c r="K27" s="318"/>
      <c r="L27" s="322"/>
      <c r="M27" s="225"/>
      <c r="N27" s="225"/>
    </row>
    <row r="28" spans="2:14" ht="14.25">
      <c r="B28" s="319"/>
      <c r="C28" s="338"/>
      <c r="D28" s="338"/>
      <c r="E28" s="318"/>
      <c r="F28" s="357"/>
      <c r="G28" s="321"/>
      <c r="H28" s="318"/>
      <c r="I28" s="318"/>
      <c r="J28" s="318"/>
      <c r="K28" s="318"/>
      <c r="L28" s="328"/>
      <c r="M28" s="228"/>
      <c r="N28" s="225"/>
    </row>
    <row r="29" spans="2:14" s="1" customFormat="1" ht="18">
      <c r="B29" s="129" t="s">
        <v>115</v>
      </c>
      <c r="C29" s="129"/>
      <c r="D29" s="129"/>
      <c r="E29" s="318"/>
      <c r="F29" s="357"/>
      <c r="G29" s="321"/>
      <c r="H29" s="329"/>
      <c r="I29" s="329"/>
      <c r="J29" s="318"/>
      <c r="K29" s="318"/>
      <c r="L29" s="318"/>
      <c r="M29" s="225"/>
      <c r="N29" s="225"/>
    </row>
    <row r="30" spans="2:14" s="1" customFormat="1" ht="18">
      <c r="B30" s="317" t="s">
        <v>135</v>
      </c>
      <c r="C30" s="317"/>
      <c r="D30" s="317"/>
      <c r="E30" s="318"/>
      <c r="F30" s="357"/>
      <c r="G30" s="321"/>
      <c r="H30" s="329"/>
      <c r="I30" s="329"/>
      <c r="J30" s="318"/>
      <c r="K30" s="318"/>
      <c r="L30" s="322"/>
      <c r="M30" s="231"/>
      <c r="N30" s="225"/>
    </row>
    <row r="31" spans="2:14" s="1" customFormat="1" ht="18">
      <c r="B31" s="317" t="s">
        <v>136</v>
      </c>
      <c r="C31" s="317"/>
      <c r="D31" s="317"/>
      <c r="E31" s="318"/>
      <c r="F31" s="357"/>
      <c r="G31" s="321"/>
      <c r="H31" s="329"/>
      <c r="I31" s="329"/>
      <c r="J31" s="318"/>
      <c r="K31" s="318"/>
      <c r="L31" s="318"/>
      <c r="M31" s="225"/>
      <c r="N31" s="225"/>
    </row>
    <row r="32" spans="2:14" s="1" customFormat="1" ht="18">
      <c r="B32" s="184" t="s">
        <v>152</v>
      </c>
      <c r="C32" s="184"/>
      <c r="D32" s="184"/>
      <c r="E32" s="318"/>
      <c r="F32" s="357"/>
      <c r="G32" s="321"/>
      <c r="H32" s="318"/>
      <c r="I32" s="318"/>
      <c r="J32" s="318"/>
      <c r="K32" s="318"/>
      <c r="L32" s="318"/>
      <c r="M32" s="225"/>
      <c r="N32" s="225"/>
    </row>
    <row r="33" spans="2:14" s="3" customFormat="1" ht="15.75">
      <c r="B33" s="254" t="str">
        <f>+B9</f>
        <v>Al 31 de agosto de 2023</v>
      </c>
      <c r="C33" s="254"/>
      <c r="D33" s="137"/>
      <c r="E33" s="330"/>
      <c r="F33" s="357"/>
      <c r="G33" s="321"/>
      <c r="H33" s="331"/>
      <c r="I33" s="330"/>
      <c r="J33" s="330"/>
      <c r="K33" s="332"/>
      <c r="L33" s="332"/>
      <c r="M33" s="229"/>
      <c r="N33" s="229"/>
    </row>
    <row r="34" spans="2:14" s="3" customFormat="1" ht="9.75" customHeight="1">
      <c r="B34" s="14"/>
      <c r="C34" s="254"/>
      <c r="D34" s="12"/>
      <c r="E34" s="330"/>
      <c r="F34" s="357"/>
      <c r="G34" s="321"/>
      <c r="H34" s="330"/>
      <c r="I34" s="330"/>
      <c r="J34" s="330"/>
      <c r="K34" s="332"/>
      <c r="L34" s="332"/>
      <c r="M34" s="229"/>
      <c r="N34" s="229"/>
    </row>
    <row r="35" spans="2:12" ht="18.75" customHeight="1">
      <c r="B35" s="613" t="s">
        <v>155</v>
      </c>
      <c r="C35" s="609" t="s">
        <v>86</v>
      </c>
      <c r="D35" s="609" t="s">
        <v>163</v>
      </c>
      <c r="E35" s="318"/>
      <c r="F35" s="357"/>
      <c r="G35" s="321"/>
      <c r="H35" s="318"/>
      <c r="I35" s="318"/>
      <c r="J35" s="318"/>
      <c r="K35" s="319"/>
      <c r="L35" s="319"/>
    </row>
    <row r="36" spans="2:14" s="16" customFormat="1" ht="18.75" customHeight="1">
      <c r="B36" s="614"/>
      <c r="C36" s="610"/>
      <c r="D36" s="610"/>
      <c r="E36" s="318"/>
      <c r="F36" s="357"/>
      <c r="G36" s="321"/>
      <c r="H36" s="318"/>
      <c r="I36" s="318"/>
      <c r="J36" s="318"/>
      <c r="K36" s="320"/>
      <c r="L36" s="320"/>
      <c r="M36" s="230"/>
      <c r="N36" s="230"/>
    </row>
    <row r="37" spans="2:14" s="16" customFormat="1" ht="9.75" customHeight="1">
      <c r="B37" s="17"/>
      <c r="C37" s="258"/>
      <c r="D37" s="19"/>
      <c r="E37" s="318"/>
      <c r="F37" s="357"/>
      <c r="G37" s="321"/>
      <c r="H37" s="318"/>
      <c r="I37" s="318"/>
      <c r="J37" s="318"/>
      <c r="K37" s="320"/>
      <c r="L37" s="320"/>
      <c r="M37" s="230"/>
      <c r="N37" s="230"/>
    </row>
    <row r="38" spans="2:14" s="13" customFormat="1" ht="19.5" customHeight="1">
      <c r="B38" s="18" t="s">
        <v>146</v>
      </c>
      <c r="C38" s="461">
        <f>SUM(C39:C40)</f>
        <v>402255.89651</v>
      </c>
      <c r="D38" s="459">
        <f>SUM(D39:D40)</f>
        <v>1487944.56119049</v>
      </c>
      <c r="E38" s="318"/>
      <c r="F38" s="354"/>
      <c r="G38" s="321"/>
      <c r="H38" s="318"/>
      <c r="I38" s="318"/>
      <c r="J38" s="318"/>
      <c r="K38" s="321"/>
      <c r="L38" s="321"/>
      <c r="M38" s="227"/>
      <c r="N38" s="227"/>
    </row>
    <row r="39" spans="2:14" s="13" customFormat="1" ht="16.5" customHeight="1">
      <c r="B39" s="15" t="s">
        <v>25</v>
      </c>
      <c r="C39" s="462">
        <v>0</v>
      </c>
      <c r="D39" s="460">
        <f>+C39*$E$9</f>
        <v>0</v>
      </c>
      <c r="E39" s="318"/>
      <c r="F39" s="356"/>
      <c r="G39" s="321"/>
      <c r="H39" s="318"/>
      <c r="I39" s="318"/>
      <c r="J39" s="318"/>
      <c r="K39" s="321"/>
      <c r="L39" s="321"/>
      <c r="M39" s="227"/>
      <c r="N39" s="227"/>
    </row>
    <row r="40" spans="2:14" s="13" customFormat="1" ht="16.5" customHeight="1">
      <c r="B40" s="15" t="s">
        <v>24</v>
      </c>
      <c r="C40" s="462">
        <v>402255.89651</v>
      </c>
      <c r="D40" s="460">
        <f>+C40*$E$9</f>
        <v>1487944.56119049</v>
      </c>
      <c r="E40" s="318"/>
      <c r="F40" s="357"/>
      <c r="G40" s="321"/>
      <c r="H40" s="318"/>
      <c r="I40" s="318"/>
      <c r="J40" s="318"/>
      <c r="K40" s="321"/>
      <c r="L40" s="321"/>
      <c r="M40" s="227"/>
      <c r="N40" s="227"/>
    </row>
    <row r="41" spans="2:14" s="13" customFormat="1" ht="15" customHeight="1">
      <c r="B41" s="15"/>
      <c r="C41" s="462"/>
      <c r="D41" s="460"/>
      <c r="E41" s="318"/>
      <c r="F41" s="357"/>
      <c r="G41" s="321"/>
      <c r="H41" s="318"/>
      <c r="I41" s="318"/>
      <c r="J41" s="318"/>
      <c r="K41" s="321"/>
      <c r="L41" s="321"/>
      <c r="M41" s="227"/>
      <c r="N41" s="227"/>
    </row>
    <row r="42" spans="2:14" s="13" customFormat="1" ht="19.5" customHeight="1">
      <c r="B42" s="18" t="s">
        <v>147</v>
      </c>
      <c r="C42" s="461">
        <f>SUM(C43:C44)</f>
        <v>202457.0711</v>
      </c>
      <c r="D42" s="459">
        <f>SUM(D43:D44)</f>
        <v>748888.7059989</v>
      </c>
      <c r="E42" s="318"/>
      <c r="F42" s="354"/>
      <c r="G42" s="321"/>
      <c r="H42" s="318"/>
      <c r="I42" s="318"/>
      <c r="J42" s="318"/>
      <c r="K42" s="321"/>
      <c r="L42" s="321"/>
      <c r="M42" s="227"/>
      <c r="N42" s="227"/>
    </row>
    <row r="43" spans="2:14" s="13" customFormat="1" ht="16.5" customHeight="1">
      <c r="B43" s="15" t="s">
        <v>25</v>
      </c>
      <c r="C43" s="462">
        <v>0</v>
      </c>
      <c r="D43" s="460">
        <f>+C43*$E$9</f>
        <v>0</v>
      </c>
      <c r="E43" s="318"/>
      <c r="F43" s="356"/>
      <c r="G43" s="321"/>
      <c r="H43" s="318"/>
      <c r="I43" s="318"/>
      <c r="J43" s="318"/>
      <c r="K43" s="321"/>
      <c r="L43" s="321"/>
      <c r="M43" s="227"/>
      <c r="N43" s="227"/>
    </row>
    <row r="44" spans="2:14" s="13" customFormat="1" ht="16.5" customHeight="1">
      <c r="B44" s="15" t="s">
        <v>24</v>
      </c>
      <c r="C44" s="462">
        <v>202457.0711</v>
      </c>
      <c r="D44" s="460">
        <f>+C44*$E$9</f>
        <v>748888.7059989</v>
      </c>
      <c r="E44" s="318"/>
      <c r="F44" s="356"/>
      <c r="G44" s="321"/>
      <c r="H44" s="318"/>
      <c r="I44" s="318"/>
      <c r="J44" s="318"/>
      <c r="K44" s="321"/>
      <c r="L44" s="321"/>
      <c r="M44" s="227"/>
      <c r="N44" s="227"/>
    </row>
    <row r="45" spans="2:14" s="13" customFormat="1" ht="7.5" customHeight="1">
      <c r="B45" s="15"/>
      <c r="C45" s="462"/>
      <c r="D45" s="460"/>
      <c r="E45" s="318"/>
      <c r="F45" s="321"/>
      <c r="G45" s="321"/>
      <c r="H45" s="318"/>
      <c r="I45" s="318"/>
      <c r="J45" s="318"/>
      <c r="K45" s="321"/>
      <c r="L45" s="321"/>
      <c r="M45" s="227"/>
      <c r="N45" s="227"/>
    </row>
    <row r="46" spans="2:14" s="13" customFormat="1" ht="15" customHeight="1">
      <c r="B46" s="615" t="s">
        <v>60</v>
      </c>
      <c r="C46" s="611">
        <f>+C42+C38</f>
        <v>604712.9676099999</v>
      </c>
      <c r="D46" s="611">
        <f>+D42+D38</f>
        <v>2236833.26718939</v>
      </c>
      <c r="E46" s="318"/>
      <c r="F46" s="321"/>
      <c r="G46" s="321"/>
      <c r="H46" s="318"/>
      <c r="I46" s="318"/>
      <c r="J46" s="318"/>
      <c r="K46" s="321"/>
      <c r="L46" s="321"/>
      <c r="M46" s="227"/>
      <c r="N46" s="227"/>
    </row>
    <row r="47" spans="2:14" s="16" customFormat="1" ht="15" customHeight="1">
      <c r="B47" s="616"/>
      <c r="C47" s="612"/>
      <c r="D47" s="612"/>
      <c r="E47" s="318"/>
      <c r="F47" s="347"/>
      <c r="G47" s="321"/>
      <c r="H47" s="318"/>
      <c r="I47" s="318"/>
      <c r="J47" s="318"/>
      <c r="K47" s="320"/>
      <c r="L47" s="320"/>
      <c r="M47" s="230"/>
      <c r="N47" s="230"/>
    </row>
    <row r="48" spans="2:12" ht="16.5" customHeight="1">
      <c r="B48" s="28" t="s">
        <v>138</v>
      </c>
      <c r="C48" s="192"/>
      <c r="D48" s="204"/>
      <c r="E48" s="318"/>
      <c r="F48" s="321"/>
      <c r="G48" s="321"/>
      <c r="H48" s="318"/>
      <c r="I48" s="318"/>
      <c r="J48" s="318"/>
      <c r="K48" s="319"/>
      <c r="L48" s="319"/>
    </row>
    <row r="49" spans="2:12" ht="12.75">
      <c r="B49" s="2" t="s">
        <v>139</v>
      </c>
      <c r="C49" s="502"/>
      <c r="D49" s="204"/>
      <c r="E49" s="318"/>
      <c r="F49" s="318"/>
      <c r="G49" s="318"/>
      <c r="H49" s="318"/>
      <c r="I49" s="318"/>
      <c r="J49" s="318"/>
      <c r="K49" s="319"/>
      <c r="L49" s="319"/>
    </row>
    <row r="50" spans="2:12" ht="12.75">
      <c r="B50" s="319"/>
      <c r="C50" s="486"/>
      <c r="D50" s="339"/>
      <c r="E50" s="318"/>
      <c r="F50" s="318"/>
      <c r="G50" s="318"/>
      <c r="H50" s="318"/>
      <c r="I50" s="318"/>
      <c r="J50" s="318"/>
      <c r="K50" s="319"/>
      <c r="L50" s="319"/>
    </row>
    <row r="51" spans="2:12" ht="12.75">
      <c r="B51" s="319"/>
      <c r="C51" s="339"/>
      <c r="D51" s="432"/>
      <c r="E51" s="318"/>
      <c r="F51" s="318"/>
      <c r="G51" s="318"/>
      <c r="H51" s="318"/>
      <c r="I51" s="318"/>
      <c r="J51" s="318"/>
      <c r="K51" s="319"/>
      <c r="L51" s="319"/>
    </row>
    <row r="52" spans="2:4" ht="12.75">
      <c r="B52" s="319"/>
      <c r="C52" s="489"/>
      <c r="D52" s="319"/>
    </row>
    <row r="53" spans="2:4" ht="12.75">
      <c r="B53" s="319"/>
      <c r="C53" s="339"/>
      <c r="D53" s="339"/>
    </row>
    <row r="54" spans="2:4" ht="12.75">
      <c r="B54" s="319"/>
      <c r="C54" s="339"/>
      <c r="D54" s="339"/>
    </row>
    <row r="55" spans="2:4" ht="12.75">
      <c r="B55" s="319"/>
      <c r="C55" s="339"/>
      <c r="D55" s="339"/>
    </row>
    <row r="56" spans="2:4" ht="12.75">
      <c r="B56" s="319"/>
      <c r="C56" s="429"/>
      <c r="D56" s="429"/>
    </row>
    <row r="57" spans="2:4" ht="12.75">
      <c r="B57" s="319"/>
      <c r="C57" s="339"/>
      <c r="D57" s="339"/>
    </row>
    <row r="58" spans="2:4" ht="12.75">
      <c r="B58" s="319"/>
      <c r="C58" s="339"/>
      <c r="D58" s="339"/>
    </row>
    <row r="59" spans="2:4" ht="12.75">
      <c r="B59" s="319"/>
      <c r="C59" s="339"/>
      <c r="D59" s="319"/>
    </row>
    <row r="60" spans="2:4" ht="12.75">
      <c r="B60" s="319"/>
      <c r="C60" s="340"/>
      <c r="D60" s="319"/>
    </row>
  </sheetData>
  <sheetProtection/>
  <mergeCells count="15">
    <mergeCell ref="B46:B47"/>
    <mergeCell ref="C46:C47"/>
    <mergeCell ref="D46:D47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17" t="s">
        <v>135</v>
      </c>
      <c r="C6" s="317"/>
      <c r="D6" s="317"/>
      <c r="M6" s="190"/>
    </row>
    <row r="7" spans="2:13" s="136" customFormat="1" ht="18">
      <c r="B7" s="317" t="s">
        <v>134</v>
      </c>
      <c r="C7" s="317"/>
      <c r="D7" s="317"/>
      <c r="M7" s="190"/>
    </row>
    <row r="8" spans="2:13" s="136" customFormat="1" ht="18">
      <c r="B8" s="341" t="s">
        <v>37</v>
      </c>
      <c r="C8" s="184"/>
      <c r="D8" s="184"/>
      <c r="M8" s="190"/>
    </row>
    <row r="9" spans="2:13" s="136" customFormat="1" ht="18">
      <c r="B9" s="621" t="str">
        <f>+'DEP-C2'!B9</f>
        <v>Al 31 de agosto de 2023</v>
      </c>
      <c r="C9" s="621"/>
      <c r="D9" s="265"/>
      <c r="E9" s="316">
        <f>+Portada!H39</f>
        <v>3.699</v>
      </c>
      <c r="M9" s="190"/>
    </row>
    <row r="10" spans="2:13" s="65" customFormat="1" ht="9.75" customHeight="1">
      <c r="B10" s="624"/>
      <c r="C10" s="624"/>
      <c r="D10" s="624"/>
      <c r="E10" s="282"/>
      <c r="M10" s="165"/>
    </row>
    <row r="11" spans="2:4" ht="16.5" customHeight="1">
      <c r="B11" s="625" t="s">
        <v>93</v>
      </c>
      <c r="C11" s="619" t="s">
        <v>86</v>
      </c>
      <c r="D11" s="609" t="s">
        <v>163</v>
      </c>
    </row>
    <row r="12" spans="2:13" s="81" customFormat="1" ht="16.5" customHeight="1">
      <c r="B12" s="626"/>
      <c r="C12" s="620"/>
      <c r="D12" s="610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63</v>
      </c>
      <c r="C14" s="463">
        <f>SUM(C15:C16)</f>
        <v>1653701.2322000004</v>
      </c>
      <c r="D14" s="380">
        <f>SUM(D15:D16)</f>
        <v>6117040.85791</v>
      </c>
      <c r="M14" s="166"/>
    </row>
    <row r="15" spans="2:13" s="81" customFormat="1" ht="16.5">
      <c r="B15" s="80" t="s">
        <v>25</v>
      </c>
      <c r="C15" s="464">
        <v>1448819.7059500006</v>
      </c>
      <c r="D15" s="386">
        <f>ROUND(+C15*$E$9,5)</f>
        <v>5359184.09231</v>
      </c>
      <c r="E15" s="283"/>
      <c r="F15" s="429"/>
      <c r="G15" s="284"/>
      <c r="M15" s="166"/>
    </row>
    <row r="16" spans="2:13" s="81" customFormat="1" ht="16.5">
      <c r="B16" s="80" t="s">
        <v>24</v>
      </c>
      <c r="C16" s="464">
        <v>204881.52624999997</v>
      </c>
      <c r="D16" s="386">
        <f>ROUND(+C16*$E$9,5)</f>
        <v>757856.7656</v>
      </c>
      <c r="E16" s="283"/>
      <c r="F16" s="429"/>
      <c r="M16" s="166"/>
    </row>
    <row r="17" spans="2:13" s="81" customFormat="1" ht="15" customHeight="1">
      <c r="B17" s="64"/>
      <c r="C17" s="465"/>
      <c r="D17" s="379"/>
      <c r="M17" s="166"/>
    </row>
    <row r="18" spans="2:13" s="81" customFormat="1" ht="16.5">
      <c r="B18" s="163" t="s">
        <v>62</v>
      </c>
      <c r="C18" s="463">
        <f>SUM(C19:C20)</f>
        <v>7196718.90182</v>
      </c>
      <c r="D18" s="463">
        <f>SUM(D19:D20)</f>
        <v>26620663.217830002</v>
      </c>
      <c r="E18" s="283"/>
      <c r="M18" s="166"/>
    </row>
    <row r="19" spans="2:13" s="81" customFormat="1" ht="16.5">
      <c r="B19" s="80" t="s">
        <v>25</v>
      </c>
      <c r="C19" s="464">
        <f>+C23+C27+C31</f>
        <v>2809413.08591</v>
      </c>
      <c r="D19" s="464">
        <f>+D23+D27+D31</f>
        <v>10392019.00478</v>
      </c>
      <c r="M19" s="166"/>
    </row>
    <row r="20" spans="2:13" s="81" customFormat="1" ht="16.5">
      <c r="B20" s="80" t="s">
        <v>24</v>
      </c>
      <c r="C20" s="464">
        <f>+C24+C28+C32</f>
        <v>4387305.81591</v>
      </c>
      <c r="D20" s="464">
        <f>+D24+D28+D32</f>
        <v>16228644.21305</v>
      </c>
      <c r="M20" s="166"/>
    </row>
    <row r="21" spans="2:13" s="81" customFormat="1" ht="9.75" customHeight="1">
      <c r="B21" s="82"/>
      <c r="C21" s="464"/>
      <c r="D21" s="386"/>
      <c r="M21" s="166"/>
    </row>
    <row r="22" spans="2:13" s="81" customFormat="1" ht="16.5">
      <c r="B22" s="343" t="s">
        <v>174</v>
      </c>
      <c r="C22" s="466">
        <f>SUM(C23:C24)</f>
        <v>6730451.66514</v>
      </c>
      <c r="D22" s="378">
        <f>SUM(D23:D24)</f>
        <v>24895940.709349997</v>
      </c>
      <c r="G22" s="283"/>
      <c r="I22" s="285"/>
      <c r="M22" s="166"/>
    </row>
    <row r="23" spans="2:13" s="81" customFormat="1" ht="16.5">
      <c r="B23" s="344" t="s">
        <v>25</v>
      </c>
      <c r="C23" s="465">
        <v>2413363.43126</v>
      </c>
      <c r="D23" s="379">
        <f>ROUND(+C23*$E$9,5)</f>
        <v>8927031.33223</v>
      </c>
      <c r="G23" s="283"/>
      <c r="I23" s="285"/>
      <c r="M23" s="166"/>
    </row>
    <row r="24" spans="2:13" s="81" customFormat="1" ht="16.5">
      <c r="B24" s="344" t="s">
        <v>24</v>
      </c>
      <c r="C24" s="465">
        <v>4317088.23388</v>
      </c>
      <c r="D24" s="379">
        <f>ROUND(+C24*$E$9,5)</f>
        <v>15968909.37712</v>
      </c>
      <c r="M24" s="166"/>
    </row>
    <row r="25" spans="2:13" s="81" customFormat="1" ht="9.75" customHeight="1">
      <c r="B25" s="82"/>
      <c r="C25" s="464"/>
      <c r="D25" s="386"/>
      <c r="M25" s="166"/>
    </row>
    <row r="26" spans="2:13" s="81" customFormat="1" ht="16.5">
      <c r="B26" s="343" t="s">
        <v>175</v>
      </c>
      <c r="C26" s="466">
        <f>SUM(C27:C28)</f>
        <v>134972.85715</v>
      </c>
      <c r="D26" s="378">
        <f>SUM(D27:D28)</f>
        <v>499264.59859999997</v>
      </c>
      <c r="G26" s="286"/>
      <c r="M26" s="166"/>
    </row>
    <row r="27" spans="2:13" s="81" customFormat="1" ht="16.5">
      <c r="B27" s="344" t="s">
        <v>25</v>
      </c>
      <c r="C27" s="465">
        <v>71512.22627</v>
      </c>
      <c r="D27" s="379">
        <f>ROUND(+C27*$E$9,5)</f>
        <v>264523.72497</v>
      </c>
      <c r="M27" s="166"/>
    </row>
    <row r="28" spans="2:13" s="81" customFormat="1" ht="16.5">
      <c r="B28" s="344" t="s">
        <v>24</v>
      </c>
      <c r="C28" s="465">
        <v>63460.63087999999</v>
      </c>
      <c r="D28" s="379">
        <f>ROUND(+C28*$E$9,5)</f>
        <v>234740.87363</v>
      </c>
      <c r="M28" s="166"/>
    </row>
    <row r="29" spans="2:13" s="81" customFormat="1" ht="9.75" customHeight="1">
      <c r="B29" s="82"/>
      <c r="C29" s="379"/>
      <c r="D29" s="386"/>
      <c r="M29" s="166"/>
    </row>
    <row r="30" spans="2:13" s="81" customFormat="1" ht="16.5">
      <c r="B30" s="345" t="s">
        <v>176</v>
      </c>
      <c r="C30" s="466">
        <f>+SUM(C31:C32)</f>
        <v>331294.3795299999</v>
      </c>
      <c r="D30" s="378">
        <f>SUM(D31:D32)</f>
        <v>1225457.90988</v>
      </c>
      <c r="M30" s="166"/>
    </row>
    <row r="31" spans="2:13" s="81" customFormat="1" ht="16.5">
      <c r="B31" s="344" t="s">
        <v>25</v>
      </c>
      <c r="C31" s="465">
        <v>324537.42837999994</v>
      </c>
      <c r="D31" s="379">
        <f>ROUND(+C31*$E$9,5)</f>
        <v>1200463.94758</v>
      </c>
      <c r="M31" s="166"/>
    </row>
    <row r="32" spans="2:13" s="81" customFormat="1" ht="16.5">
      <c r="B32" s="344" t="s">
        <v>24</v>
      </c>
      <c r="C32" s="465">
        <v>6756.95115</v>
      </c>
      <c r="D32" s="379">
        <f>ROUND(+C32*$E$9,5)</f>
        <v>24993.9623</v>
      </c>
      <c r="M32" s="166"/>
    </row>
    <row r="33" spans="2:13" s="81" customFormat="1" ht="9.75" customHeight="1">
      <c r="B33" s="193"/>
      <c r="C33" s="465"/>
      <c r="D33" s="379"/>
      <c r="M33" s="166"/>
    </row>
    <row r="34" spans="2:13" s="81" customFormat="1" ht="15" customHeight="1">
      <c r="B34" s="622" t="s">
        <v>60</v>
      </c>
      <c r="C34" s="617">
        <f>+C18+C14</f>
        <v>8850420.13402</v>
      </c>
      <c r="D34" s="617">
        <f>+D18+D14</f>
        <v>32737704.075740002</v>
      </c>
      <c r="M34" s="166"/>
    </row>
    <row r="35" spans="2:13" s="81" customFormat="1" ht="15" customHeight="1">
      <c r="B35" s="623"/>
      <c r="C35" s="618"/>
      <c r="D35" s="618"/>
      <c r="M35" s="166"/>
    </row>
    <row r="36" spans="3:6" ht="16.5">
      <c r="C36" s="192"/>
      <c r="F36" s="81"/>
    </row>
    <row r="37" spans="3:6" ht="16.5">
      <c r="C37" s="192"/>
      <c r="D37" s="102"/>
      <c r="F37" s="81"/>
    </row>
    <row r="38" spans="3:6" ht="16.5">
      <c r="C38" s="192"/>
      <c r="D38" s="192"/>
      <c r="F38" s="81"/>
    </row>
    <row r="40" spans="2:13" s="136" customFormat="1" ht="18">
      <c r="B40" s="129" t="s">
        <v>116</v>
      </c>
      <c r="C40" s="129"/>
      <c r="D40" s="129"/>
      <c r="M40" s="190"/>
    </row>
    <row r="41" spans="2:13" s="136" customFormat="1" ht="18">
      <c r="B41" s="317" t="s">
        <v>135</v>
      </c>
      <c r="C41" s="317"/>
      <c r="D41" s="317"/>
      <c r="M41" s="190"/>
    </row>
    <row r="42" spans="2:13" s="136" customFormat="1" ht="18">
      <c r="B42" s="317" t="s">
        <v>136</v>
      </c>
      <c r="C42" s="317"/>
      <c r="D42" s="317"/>
      <c r="M42" s="190"/>
    </row>
    <row r="43" spans="2:13" s="136" customFormat="1" ht="18">
      <c r="B43" s="341" t="s">
        <v>37</v>
      </c>
      <c r="C43" s="184"/>
      <c r="D43" s="184"/>
      <c r="M43" s="190"/>
    </row>
    <row r="44" spans="2:13" s="136" customFormat="1" ht="18">
      <c r="B44" s="621" t="str">
        <f>+B9</f>
        <v>Al 31 de agosto de 2023</v>
      </c>
      <c r="C44" s="621"/>
      <c r="D44" s="252"/>
      <c r="M44" s="190"/>
    </row>
    <row r="45" spans="2:13" s="65" customFormat="1" ht="9.75" customHeight="1">
      <c r="B45" s="624"/>
      <c r="C45" s="624"/>
      <c r="D45" s="624"/>
      <c r="M45" s="165"/>
    </row>
    <row r="46" spans="2:4" ht="16.5" customHeight="1">
      <c r="B46" s="625" t="s">
        <v>93</v>
      </c>
      <c r="C46" s="619" t="s">
        <v>86</v>
      </c>
      <c r="D46" s="609" t="s">
        <v>163</v>
      </c>
    </row>
    <row r="47" spans="2:13" s="81" customFormat="1" ht="16.5" customHeight="1">
      <c r="B47" s="626"/>
      <c r="C47" s="620"/>
      <c r="D47" s="610"/>
      <c r="M47" s="166"/>
    </row>
    <row r="48" spans="2:13" s="81" customFormat="1" ht="9.75" customHeight="1">
      <c r="B48" s="64"/>
      <c r="C48" s="161"/>
      <c r="D48" s="194"/>
      <c r="M48" s="166"/>
    </row>
    <row r="49" spans="2:13" s="81" customFormat="1" ht="16.5">
      <c r="B49" s="163" t="s">
        <v>63</v>
      </c>
      <c r="C49" s="463">
        <f>SUM(C50:C51)</f>
        <v>340434.16358</v>
      </c>
      <c r="D49" s="380">
        <f>SUM(D50:D51)</f>
        <v>1259265.97108</v>
      </c>
      <c r="F49" s="347"/>
      <c r="M49" s="166"/>
    </row>
    <row r="50" spans="2:13" s="81" customFormat="1" ht="16.5">
      <c r="B50" s="80" t="s">
        <v>24</v>
      </c>
      <c r="C50" s="464">
        <v>340434.16358</v>
      </c>
      <c r="D50" s="386">
        <f>ROUND(+C50*$E$9,5)</f>
        <v>1259265.97108</v>
      </c>
      <c r="F50" s="346"/>
      <c r="M50" s="166"/>
    </row>
    <row r="51" spans="2:13" s="81" customFormat="1" ht="21.75" customHeight="1" hidden="1">
      <c r="B51" s="82" t="s">
        <v>64</v>
      </c>
      <c r="C51" s="464">
        <v>0</v>
      </c>
      <c r="D51" s="386">
        <f>+C51*$E$9</f>
        <v>0</v>
      </c>
      <c r="M51" s="166"/>
    </row>
    <row r="52" spans="2:13" s="81" customFormat="1" ht="15" customHeight="1">
      <c r="B52" s="64"/>
      <c r="C52" s="465"/>
      <c r="D52" s="379"/>
      <c r="M52" s="166"/>
    </row>
    <row r="53" spans="2:13" s="81" customFormat="1" ht="16.5">
      <c r="B53" s="163" t="s">
        <v>62</v>
      </c>
      <c r="C53" s="463">
        <f>SUM(C54:C55)</f>
        <v>264278.80403</v>
      </c>
      <c r="D53" s="463">
        <f>SUM(D54:D55)</f>
        <v>977567.29611</v>
      </c>
      <c r="F53" s="347"/>
      <c r="M53" s="166"/>
    </row>
    <row r="54" spans="2:13" s="81" customFormat="1" ht="16.5">
      <c r="B54" s="80" t="s">
        <v>25</v>
      </c>
      <c r="C54" s="464">
        <f>+C58</f>
        <v>0</v>
      </c>
      <c r="D54" s="386">
        <f>+D58</f>
        <v>0</v>
      </c>
      <c r="F54" s="347"/>
      <c r="M54" s="166"/>
    </row>
    <row r="55" spans="2:13" s="81" customFormat="1" ht="16.5">
      <c r="B55" s="80" t="s">
        <v>24</v>
      </c>
      <c r="C55" s="464">
        <f>+C59</f>
        <v>264278.80403</v>
      </c>
      <c r="D55" s="386">
        <f>+D59</f>
        <v>977567.29611</v>
      </c>
      <c r="F55" s="346"/>
      <c r="M55" s="166"/>
    </row>
    <row r="56" spans="2:13" s="81" customFormat="1" ht="9.75" customHeight="1">
      <c r="B56" s="82"/>
      <c r="C56" s="464"/>
      <c r="D56" s="386"/>
      <c r="M56" s="166"/>
    </row>
    <row r="57" spans="2:13" s="81" customFormat="1" ht="16.5">
      <c r="B57" s="343" t="s">
        <v>174</v>
      </c>
      <c r="C57" s="466">
        <f>SUM(C58:C59)</f>
        <v>264278.80403</v>
      </c>
      <c r="D57" s="466">
        <f>SUM(D58:D59)</f>
        <v>977567.29611</v>
      </c>
      <c r="F57" s="347"/>
      <c r="M57" s="166"/>
    </row>
    <row r="58" spans="2:13" s="81" customFormat="1" ht="16.5" customHeight="1">
      <c r="B58" s="344" t="s">
        <v>25</v>
      </c>
      <c r="C58" s="465">
        <v>0</v>
      </c>
      <c r="D58" s="379">
        <f>ROUND(+C58*$E$9,5)</f>
        <v>0</v>
      </c>
      <c r="F58" s="346"/>
      <c r="M58" s="166"/>
    </row>
    <row r="59" spans="2:13" s="81" customFormat="1" ht="16.5" customHeight="1">
      <c r="B59" s="344" t="s">
        <v>24</v>
      </c>
      <c r="C59" s="465">
        <v>264278.80403</v>
      </c>
      <c r="D59" s="379">
        <f>ROUND(+C59*$E$9,5)</f>
        <v>977567.29611</v>
      </c>
      <c r="F59" s="205"/>
      <c r="M59" s="166"/>
    </row>
    <row r="60" spans="2:13" s="81" customFormat="1" ht="9.75" customHeight="1">
      <c r="B60" s="193"/>
      <c r="C60" s="465"/>
      <c r="D60" s="379"/>
      <c r="M60" s="166"/>
    </row>
    <row r="61" spans="2:13" s="81" customFormat="1" ht="15" customHeight="1">
      <c r="B61" s="622" t="s">
        <v>60</v>
      </c>
      <c r="C61" s="617">
        <f>+C53+C49</f>
        <v>604712.9676099999</v>
      </c>
      <c r="D61" s="617">
        <f>+D53+D49</f>
        <v>2236833.26719</v>
      </c>
      <c r="M61" s="166"/>
    </row>
    <row r="62" spans="2:13" s="81" customFormat="1" ht="15" customHeight="1">
      <c r="B62" s="623"/>
      <c r="C62" s="618"/>
      <c r="D62" s="618"/>
      <c r="F62" s="347"/>
      <c r="M62" s="166"/>
    </row>
    <row r="63" ht="12.75">
      <c r="C63" s="502"/>
    </row>
    <row r="64" spans="3:6" ht="12.75">
      <c r="C64" s="192"/>
      <c r="D64" s="131"/>
      <c r="F64" s="348"/>
    </row>
    <row r="65" ht="12.75">
      <c r="C65" s="191"/>
    </row>
  </sheetData>
  <sheetProtection/>
  <mergeCells count="16"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  <mergeCell ref="C34:C35"/>
    <mergeCell ref="C46:C47"/>
    <mergeCell ref="D46:D47"/>
    <mergeCell ref="B44:C44"/>
    <mergeCell ref="D34:D35"/>
    <mergeCell ref="B34:B35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17" t="s">
        <v>135</v>
      </c>
      <c r="C6" s="317"/>
      <c r="D6" s="317"/>
      <c r="K6" s="132"/>
    </row>
    <row r="7" spans="2:11" ht="18">
      <c r="B7" s="317" t="s">
        <v>134</v>
      </c>
      <c r="C7" s="317"/>
      <c r="D7" s="317"/>
      <c r="K7" s="132"/>
    </row>
    <row r="8" spans="2:11" ht="16.5">
      <c r="B8" s="341" t="s">
        <v>32</v>
      </c>
      <c r="C8" s="184"/>
      <c r="D8" s="184"/>
      <c r="K8" s="132"/>
    </row>
    <row r="9" spans="2:11" s="136" customFormat="1" ht="18">
      <c r="B9" s="133" t="str">
        <f>+'DEP-C2'!B9</f>
        <v>Al 31 de agosto de 2023</v>
      </c>
      <c r="C9" s="133"/>
      <c r="D9" s="265"/>
      <c r="E9" s="316">
        <f>+Portada!H39</f>
        <v>3.699</v>
      </c>
      <c r="K9" s="190"/>
    </row>
    <row r="10" spans="2:11" ht="9.75" customHeight="1">
      <c r="B10" s="627"/>
      <c r="C10" s="627"/>
      <c r="D10" s="627"/>
      <c r="K10" s="132"/>
    </row>
    <row r="11" spans="2:11" ht="16.5" customHeight="1">
      <c r="B11" s="625" t="s">
        <v>94</v>
      </c>
      <c r="C11" s="619" t="s">
        <v>86</v>
      </c>
      <c r="D11" s="609" t="s">
        <v>210</v>
      </c>
      <c r="K11" s="132"/>
    </row>
    <row r="12" spans="2:11" ht="16.5" customHeight="1">
      <c r="B12" s="626"/>
      <c r="C12" s="620"/>
      <c r="D12" s="610"/>
      <c r="F12" s="65"/>
      <c r="G12" s="65"/>
      <c r="H12" s="206"/>
      <c r="I12" s="206"/>
      <c r="K12" s="132"/>
    </row>
    <row r="13" spans="2:11" s="81" customFormat="1" ht="9.75" customHeight="1">
      <c r="B13" s="255"/>
      <c r="C13" s="104"/>
      <c r="D13" s="104"/>
      <c r="F13" s="65"/>
      <c r="G13" s="65"/>
      <c r="H13" s="206"/>
      <c r="I13" s="206"/>
      <c r="K13" s="166"/>
    </row>
    <row r="14" spans="2:11" s="65" customFormat="1" ht="16.5" customHeight="1">
      <c r="B14" s="349" t="s">
        <v>88</v>
      </c>
      <c r="C14" s="378">
        <f>+C16+C20</f>
        <v>4592187.34216</v>
      </c>
      <c r="D14" s="378">
        <f>+D16+D20</f>
        <v>16986500.97864</v>
      </c>
      <c r="E14" s="214"/>
      <c r="F14" s="347"/>
      <c r="H14" s="206"/>
      <c r="I14" s="206"/>
      <c r="K14" s="165"/>
    </row>
    <row r="15" spans="2:11" s="65" customFormat="1" ht="9.75" customHeight="1">
      <c r="B15" s="63"/>
      <c r="C15" s="467"/>
      <c r="D15" s="467"/>
      <c r="K15" s="165"/>
    </row>
    <row r="16" spans="2:11" s="65" customFormat="1" ht="16.5" customHeight="1">
      <c r="B16" s="350" t="s">
        <v>33</v>
      </c>
      <c r="C16" s="378">
        <f>SUM(C17:C18)</f>
        <v>4083333.3333099997</v>
      </c>
      <c r="D16" s="378">
        <f>SUM(D17:D18)</f>
        <v>15104249.99991</v>
      </c>
      <c r="E16" s="499"/>
      <c r="F16" s="458"/>
      <c r="H16" s="207"/>
      <c r="K16" s="165"/>
    </row>
    <row r="17" spans="2:11" s="65" customFormat="1" ht="16.5" customHeight="1">
      <c r="B17" s="342" t="s">
        <v>216</v>
      </c>
      <c r="C17" s="379">
        <v>3000000</v>
      </c>
      <c r="D17" s="379">
        <f>ROUND(+C17*$E$9,5)</f>
        <v>11097000</v>
      </c>
      <c r="F17" s="346"/>
      <c r="H17" s="207"/>
      <c r="K17" s="165"/>
    </row>
    <row r="18" spans="2:11" s="65" customFormat="1" ht="16.5" customHeight="1">
      <c r="B18" s="342" t="s">
        <v>227</v>
      </c>
      <c r="C18" s="379">
        <v>1083333.33331</v>
      </c>
      <c r="D18" s="379">
        <f>ROUND(+C18*$E$9,5)</f>
        <v>4007249.99991</v>
      </c>
      <c r="F18" s="346"/>
      <c r="H18" s="207"/>
      <c r="K18" s="165"/>
    </row>
    <row r="19" spans="2:11" s="65" customFormat="1" ht="12" customHeight="1">
      <c r="B19" s="64"/>
      <c r="C19" s="379"/>
      <c r="D19" s="379"/>
      <c r="H19" s="207"/>
      <c r="K19" s="165"/>
    </row>
    <row r="20" spans="2:11" s="65" customFormat="1" ht="16.5" customHeight="1">
      <c r="B20" s="350" t="s">
        <v>34</v>
      </c>
      <c r="C20" s="378">
        <f>SUM(C21:C26)</f>
        <v>508854.00885000004</v>
      </c>
      <c r="D20" s="378">
        <f>SUM(D21:D26)</f>
        <v>1882250.9787299999</v>
      </c>
      <c r="E20" s="499"/>
      <c r="F20" s="458"/>
      <c r="H20" s="207"/>
      <c r="K20" s="165"/>
    </row>
    <row r="21" spans="2:11" s="65" customFormat="1" ht="16.5" customHeight="1">
      <c r="B21" s="342" t="s">
        <v>217</v>
      </c>
      <c r="C21" s="379">
        <v>301677.70256000006</v>
      </c>
      <c r="D21" s="379">
        <f aca="true" t="shared" si="0" ref="D21:D26">ROUND(+C21*$E$9,5)</f>
        <v>1115905.82177</v>
      </c>
      <c r="E21" s="443"/>
      <c r="F21" s="346"/>
      <c r="H21" s="207"/>
      <c r="K21" s="165"/>
    </row>
    <row r="22" spans="2:11" s="65" customFormat="1" ht="16.5" customHeight="1">
      <c r="B22" s="342" t="s">
        <v>180</v>
      </c>
      <c r="C22" s="379">
        <v>125670.35291</v>
      </c>
      <c r="D22" s="379">
        <f t="shared" si="0"/>
        <v>464854.63541</v>
      </c>
      <c r="E22" s="443"/>
      <c r="F22" s="346"/>
      <c r="H22" s="207"/>
      <c r="K22" s="165"/>
    </row>
    <row r="23" spans="2:11" s="65" customFormat="1" ht="16.5" customHeight="1">
      <c r="B23" s="342" t="s">
        <v>0</v>
      </c>
      <c r="C23" s="379">
        <v>79983.33175999999</v>
      </c>
      <c r="D23" s="379">
        <f t="shared" si="0"/>
        <v>295858.34418</v>
      </c>
      <c r="E23" s="443"/>
      <c r="F23" s="346"/>
      <c r="G23" s="288"/>
      <c r="H23" s="207"/>
      <c r="K23" s="165"/>
    </row>
    <row r="24" spans="2:11" s="65" customFormat="1" ht="16.5" customHeight="1" hidden="1">
      <c r="B24" s="342" t="s">
        <v>234</v>
      </c>
      <c r="C24" s="379"/>
      <c r="D24" s="379">
        <f t="shared" si="0"/>
        <v>0</v>
      </c>
      <c r="E24" s="443"/>
      <c r="F24" s="346"/>
      <c r="G24" s="288"/>
      <c r="H24" s="207"/>
      <c r="K24" s="165"/>
    </row>
    <row r="25" spans="2:11" s="65" customFormat="1" ht="16.5" customHeight="1">
      <c r="B25" s="342" t="s">
        <v>183</v>
      </c>
      <c r="C25" s="379">
        <v>1522.6216200000001</v>
      </c>
      <c r="D25" s="379">
        <f t="shared" si="0"/>
        <v>5632.17737</v>
      </c>
      <c r="E25" s="443"/>
      <c r="F25" s="346"/>
      <c r="G25" s="206"/>
      <c r="H25" s="206"/>
      <c r="K25" s="165"/>
    </row>
    <row r="26" spans="2:11" s="65" customFormat="1" ht="16.5" customHeight="1" hidden="1">
      <c r="B26" s="342" t="s">
        <v>181</v>
      </c>
      <c r="C26" s="379">
        <v>0</v>
      </c>
      <c r="D26" s="379">
        <f t="shared" si="0"/>
        <v>0</v>
      </c>
      <c r="F26" s="346"/>
      <c r="G26" s="206"/>
      <c r="H26" s="206"/>
      <c r="I26" s="206"/>
      <c r="K26" s="165"/>
    </row>
    <row r="27" spans="2:8" s="65" customFormat="1" ht="15" customHeight="1">
      <c r="B27" s="66"/>
      <c r="C27" s="379"/>
      <c r="D27" s="379"/>
      <c r="G27" s="223"/>
      <c r="H27" s="223"/>
    </row>
    <row r="28" spans="2:8" s="65" customFormat="1" ht="16.5" customHeight="1">
      <c r="B28" s="349" t="s">
        <v>89</v>
      </c>
      <c r="C28" s="378">
        <f>+C30+C39</f>
        <v>4258232.79186</v>
      </c>
      <c r="D28" s="378">
        <f>+D30+D39</f>
        <v>15751203.09710238</v>
      </c>
      <c r="F28" s="347"/>
      <c r="G28" s="206"/>
      <c r="H28" s="206"/>
    </row>
    <row r="29" spans="2:4" s="65" customFormat="1" ht="9.75" customHeight="1">
      <c r="B29" s="63"/>
      <c r="C29" s="467"/>
      <c r="D29" s="467"/>
    </row>
    <row r="30" spans="2:8" s="65" customFormat="1" ht="16.5" customHeight="1">
      <c r="B30" s="350" t="s">
        <v>33</v>
      </c>
      <c r="C30" s="378">
        <f>SUM(C31:C37)</f>
        <v>3343661.72641</v>
      </c>
      <c r="D30" s="378">
        <f>SUM(D31:D37)</f>
        <v>12368204.726</v>
      </c>
      <c r="E30" s="499"/>
      <c r="F30" s="458"/>
      <c r="H30" s="207"/>
    </row>
    <row r="31" spans="2:8" s="65" customFormat="1" ht="16.5" customHeight="1">
      <c r="B31" s="342" t="s">
        <v>215</v>
      </c>
      <c r="C31" s="379">
        <v>2172063.00406</v>
      </c>
      <c r="D31" s="379">
        <f aca="true" t="shared" si="1" ref="D31:D37">ROUND(+C31*$E$9,5)</f>
        <v>8034461.05202</v>
      </c>
      <c r="E31" s="499"/>
      <c r="F31" s="458"/>
      <c r="H31" s="207"/>
    </row>
    <row r="32" spans="2:8" s="65" customFormat="1" ht="16.5" customHeight="1">
      <c r="B32" s="342" t="s">
        <v>246</v>
      </c>
      <c r="C32" s="379">
        <v>589107.86699</v>
      </c>
      <c r="D32" s="379">
        <f t="shared" si="1"/>
        <v>2179110</v>
      </c>
      <c r="E32" s="499"/>
      <c r="F32" s="458"/>
      <c r="H32" s="207"/>
    </row>
    <row r="33" spans="2:8" s="65" customFormat="1" ht="16.5" customHeight="1">
      <c r="B33" s="342" t="s">
        <v>228</v>
      </c>
      <c r="C33" s="379">
        <v>274925.60916000005</v>
      </c>
      <c r="D33" s="379">
        <f t="shared" si="1"/>
        <v>1016949.82828</v>
      </c>
      <c r="E33" s="499"/>
      <c r="F33" s="458"/>
      <c r="H33" s="207"/>
    </row>
    <row r="34" spans="2:8" s="65" customFormat="1" ht="16.5" customHeight="1">
      <c r="B34" s="342" t="s">
        <v>178</v>
      </c>
      <c r="C34" s="379">
        <v>198356.31256</v>
      </c>
      <c r="D34" s="379">
        <f t="shared" si="1"/>
        <v>733720.00016</v>
      </c>
      <c r="E34" s="499"/>
      <c r="F34" s="458"/>
      <c r="H34" s="207"/>
    </row>
    <row r="35" spans="2:8" s="65" customFormat="1" ht="16.5" customHeight="1">
      <c r="B35" s="342" t="s">
        <v>184</v>
      </c>
      <c r="C35" s="379">
        <v>65693.43066</v>
      </c>
      <c r="D35" s="379">
        <f t="shared" si="1"/>
        <v>243000.00001</v>
      </c>
      <c r="E35" s="499"/>
      <c r="F35" s="458"/>
      <c r="H35" s="207"/>
    </row>
    <row r="36" spans="2:8" s="65" customFormat="1" ht="16.5" customHeight="1">
      <c r="B36" s="342" t="s">
        <v>229</v>
      </c>
      <c r="C36" s="379">
        <v>38557.693</v>
      </c>
      <c r="D36" s="379">
        <f t="shared" si="1"/>
        <v>142624.90641</v>
      </c>
      <c r="E36" s="499"/>
      <c r="F36" s="458"/>
      <c r="H36" s="207"/>
    </row>
    <row r="37" spans="2:8" s="65" customFormat="1" ht="16.5" customHeight="1">
      <c r="B37" s="342" t="s">
        <v>177</v>
      </c>
      <c r="C37" s="379">
        <v>4957.80998</v>
      </c>
      <c r="D37" s="379">
        <f t="shared" si="1"/>
        <v>18338.93912</v>
      </c>
      <c r="E37" s="499"/>
      <c r="F37" s="458"/>
      <c r="H37" s="207"/>
    </row>
    <row r="38" spans="2:8" s="65" customFormat="1" ht="12" customHeight="1">
      <c r="B38" s="64"/>
      <c r="C38" s="379"/>
      <c r="D38" s="379"/>
      <c r="H38" s="207"/>
    </row>
    <row r="39" spans="2:8" s="65" customFormat="1" ht="16.5" customHeight="1">
      <c r="B39" s="350" t="s">
        <v>34</v>
      </c>
      <c r="C39" s="378">
        <f>SUM(C40:C46)</f>
        <v>914571.06545</v>
      </c>
      <c r="D39" s="378">
        <f>SUM(D40:D46)</f>
        <v>3382998.37110238</v>
      </c>
      <c r="E39" s="499"/>
      <c r="F39" s="500"/>
      <c r="H39" s="207"/>
    </row>
    <row r="40" spans="2:8" s="65" customFormat="1" ht="16.5" customHeight="1">
      <c r="B40" s="342" t="s">
        <v>218</v>
      </c>
      <c r="C40" s="379">
        <v>542185.83941</v>
      </c>
      <c r="D40" s="379">
        <f>ROUND(+C40*$E$9,5)</f>
        <v>2005545.41998</v>
      </c>
      <c r="E40" s="499"/>
      <c r="F40" s="347"/>
      <c r="H40" s="207"/>
    </row>
    <row r="41" spans="2:8" s="65" customFormat="1" ht="16.5" customHeight="1">
      <c r="B41" s="342" t="s">
        <v>179</v>
      </c>
      <c r="C41" s="379">
        <v>292531.01441999996</v>
      </c>
      <c r="D41" s="379">
        <f>ROUND(+C41*$E$9,5)</f>
        <v>1082072.22234</v>
      </c>
      <c r="E41" s="499"/>
      <c r="F41" s="488"/>
      <c r="H41" s="207"/>
    </row>
    <row r="42" spans="2:8" s="65" customFormat="1" ht="16.5" customHeight="1">
      <c r="B42" s="342" t="s">
        <v>186</v>
      </c>
      <c r="C42" s="379">
        <v>27984.98239</v>
      </c>
      <c r="D42" s="379">
        <f>ROUND(+C42*$E$9,8)</f>
        <v>103516.44986061</v>
      </c>
      <c r="E42" s="499"/>
      <c r="F42" s="439"/>
      <c r="H42" s="207"/>
    </row>
    <row r="43" spans="2:8" s="65" customFormat="1" ht="16.5" customHeight="1">
      <c r="B43" s="342" t="s">
        <v>217</v>
      </c>
      <c r="C43" s="379">
        <v>20374.23055</v>
      </c>
      <c r="D43" s="379">
        <f>ROUND(+C43*$E$9,8)</f>
        <v>75364.27880445</v>
      </c>
      <c r="E43" s="499"/>
      <c r="F43" s="439"/>
      <c r="H43" s="207"/>
    </row>
    <row r="44" spans="2:8" s="65" customFormat="1" ht="16.5" customHeight="1">
      <c r="B44" s="342" t="s">
        <v>156</v>
      </c>
      <c r="C44" s="379">
        <v>18518.51852</v>
      </c>
      <c r="D44" s="379">
        <f>ROUND(+C44*$E$9,8)</f>
        <v>68500.00000548</v>
      </c>
      <c r="E44" s="499"/>
      <c r="F44" s="439"/>
      <c r="H44" s="207"/>
    </row>
    <row r="45" spans="2:8" s="65" customFormat="1" ht="16.5" customHeight="1">
      <c r="B45" s="342" t="s">
        <v>207</v>
      </c>
      <c r="C45" s="379">
        <v>12976.48016</v>
      </c>
      <c r="D45" s="379">
        <f>ROUND(+C45*$E$9,8)</f>
        <v>48000.00011184</v>
      </c>
      <c r="E45" s="499"/>
      <c r="F45" s="439"/>
      <c r="H45" s="207"/>
    </row>
    <row r="46" spans="2:8" s="65" customFormat="1" ht="16.5" customHeight="1" hidden="1">
      <c r="B46" s="342" t="s">
        <v>182</v>
      </c>
      <c r="C46" s="379">
        <v>0</v>
      </c>
      <c r="D46" s="379">
        <f>ROUND(+C46*$E$9,8)</f>
        <v>0</v>
      </c>
      <c r="E46" s="377"/>
      <c r="F46" s="439"/>
      <c r="H46" s="207"/>
    </row>
    <row r="47" spans="2:8" s="65" customFormat="1" ht="9" customHeight="1">
      <c r="B47" s="64"/>
      <c r="C47" s="379"/>
      <c r="D47" s="379"/>
      <c r="H47" s="207"/>
    </row>
    <row r="48" spans="2:8" s="65" customFormat="1" ht="15" customHeight="1">
      <c r="B48" s="622" t="s">
        <v>60</v>
      </c>
      <c r="C48" s="617">
        <f>+C28+C14</f>
        <v>8850420.13402</v>
      </c>
      <c r="D48" s="617">
        <f>+D28+D14</f>
        <v>32737704.07574238</v>
      </c>
      <c r="F48" s="347"/>
      <c r="H48" s="207"/>
    </row>
    <row r="49" spans="2:8" s="81" customFormat="1" ht="15" customHeight="1">
      <c r="B49" s="623"/>
      <c r="C49" s="618"/>
      <c r="D49" s="618"/>
      <c r="H49" s="207"/>
    </row>
    <row r="50" spans="2:8" s="81" customFormat="1" ht="7.5" customHeight="1">
      <c r="B50" s="105"/>
      <c r="C50" s="106"/>
      <c r="D50" s="106"/>
      <c r="H50" s="207"/>
    </row>
    <row r="51" spans="2:4" ht="14.25" customHeight="1">
      <c r="B51" s="86" t="s">
        <v>242</v>
      </c>
      <c r="C51" s="501"/>
      <c r="D51" s="86"/>
    </row>
    <row r="52" spans="2:4" ht="14.25" customHeight="1">
      <c r="B52" s="86" t="s">
        <v>219</v>
      </c>
      <c r="C52" s="455"/>
      <c r="D52" s="86"/>
    </row>
    <row r="53" spans="2:5" ht="14.25" customHeight="1">
      <c r="B53" s="544" t="s">
        <v>258</v>
      </c>
      <c r="C53" s="86"/>
      <c r="D53" s="169"/>
      <c r="E53" s="191"/>
    </row>
    <row r="54" spans="2:5" ht="14.25" customHeight="1">
      <c r="B54" s="544" t="s">
        <v>259</v>
      </c>
      <c r="C54" s="86"/>
      <c r="D54" s="86"/>
      <c r="E54" s="191"/>
    </row>
    <row r="55" spans="2:5" ht="12.75">
      <c r="B55" s="451"/>
      <c r="C55" s="191"/>
      <c r="D55" s="191"/>
      <c r="E55" s="191"/>
    </row>
    <row r="56" spans="2:5" ht="12.75">
      <c r="B56" s="86"/>
      <c r="C56" s="191"/>
      <c r="D56" s="191"/>
      <c r="E56" s="191"/>
    </row>
    <row r="57" spans="3:5" ht="12.75">
      <c r="C57" s="191"/>
      <c r="D57" s="191"/>
      <c r="E57" s="191"/>
    </row>
    <row r="58" spans="2:4" s="136" customFormat="1" ht="18">
      <c r="B58" s="129" t="s">
        <v>117</v>
      </c>
      <c r="C58" s="129"/>
      <c r="D58" s="129"/>
    </row>
    <row r="59" spans="2:4" ht="18">
      <c r="B59" s="317" t="s">
        <v>135</v>
      </c>
      <c r="C59" s="317"/>
      <c r="D59" s="317"/>
    </row>
    <row r="60" spans="2:4" ht="18">
      <c r="B60" s="317" t="s">
        <v>136</v>
      </c>
      <c r="C60" s="317"/>
      <c r="D60" s="317"/>
    </row>
    <row r="61" spans="2:4" ht="16.5">
      <c r="B61" s="341" t="s">
        <v>32</v>
      </c>
      <c r="C61" s="184"/>
      <c r="D61" s="184"/>
    </row>
    <row r="62" spans="2:4" s="136" customFormat="1" ht="18">
      <c r="B62" s="133" t="str">
        <f>+B9</f>
        <v>Al 31 de agosto de 2023</v>
      </c>
      <c r="C62" s="133"/>
      <c r="D62" s="252"/>
    </row>
    <row r="63" spans="2:4" ht="9.75" customHeight="1">
      <c r="B63" s="627"/>
      <c r="C63" s="627"/>
      <c r="D63" s="627"/>
    </row>
    <row r="64" spans="2:4" ht="16.5" customHeight="1">
      <c r="B64" s="625" t="s">
        <v>94</v>
      </c>
      <c r="C64" s="619" t="s">
        <v>86</v>
      </c>
      <c r="D64" s="609" t="s">
        <v>210</v>
      </c>
    </row>
    <row r="65" spans="2:4" ht="16.5" customHeight="1">
      <c r="B65" s="626"/>
      <c r="C65" s="620"/>
      <c r="D65" s="610"/>
    </row>
    <row r="66" spans="2:4" s="81" customFormat="1" ht="9.75" customHeight="1">
      <c r="B66" s="255"/>
      <c r="C66" s="104"/>
      <c r="D66" s="104"/>
    </row>
    <row r="67" spans="2:4" s="81" customFormat="1" ht="16.5" customHeight="1">
      <c r="B67" s="349" t="s">
        <v>233</v>
      </c>
      <c r="C67" s="378">
        <f>+C69+C71</f>
        <v>0</v>
      </c>
      <c r="D67" s="378">
        <f>+D69+D71</f>
        <v>0</v>
      </c>
    </row>
    <row r="68" spans="2:4" s="81" customFormat="1" ht="9.75" customHeight="1" hidden="1">
      <c r="B68" s="491"/>
      <c r="C68" s="104"/>
      <c r="D68" s="104"/>
    </row>
    <row r="69" spans="2:4" s="81" customFormat="1" ht="16.5" hidden="1">
      <c r="B69" s="350" t="s">
        <v>33</v>
      </c>
      <c r="C69" s="378">
        <v>0</v>
      </c>
      <c r="D69" s="378">
        <v>0</v>
      </c>
    </row>
    <row r="70" spans="2:4" s="81" customFormat="1" ht="9.75" customHeight="1" hidden="1">
      <c r="B70" s="491"/>
      <c r="C70" s="104"/>
      <c r="D70" s="104"/>
    </row>
    <row r="71" spans="2:4" s="81" customFormat="1" ht="16.5" hidden="1">
      <c r="B71" s="350" t="s">
        <v>34</v>
      </c>
      <c r="C71" s="378">
        <f>SUM(C72:C72)</f>
        <v>0</v>
      </c>
      <c r="D71" s="378">
        <f>SUM(D72:D72)</f>
        <v>0</v>
      </c>
    </row>
    <row r="72" spans="2:4" s="81" customFormat="1" ht="16.5" hidden="1">
      <c r="B72" s="342"/>
      <c r="C72" s="379">
        <v>0</v>
      </c>
      <c r="D72" s="379">
        <f>ROUND(+C72*$E$9,8)</f>
        <v>0</v>
      </c>
    </row>
    <row r="73" spans="2:4" s="81" customFormat="1" ht="12" customHeight="1">
      <c r="B73" s="491"/>
      <c r="C73" s="104"/>
      <c r="D73" s="104"/>
    </row>
    <row r="74" spans="2:6" s="65" customFormat="1" ht="16.5" customHeight="1">
      <c r="B74" s="349" t="s">
        <v>231</v>
      </c>
      <c r="C74" s="378">
        <f>+C76+C81</f>
        <v>604712.9676100002</v>
      </c>
      <c r="D74" s="378">
        <f>+D76+D81</f>
        <v>2236833.26718939</v>
      </c>
      <c r="F74" s="347"/>
    </row>
    <row r="75" spans="2:8" s="65" customFormat="1" ht="9.75" customHeight="1">
      <c r="B75" s="64"/>
      <c r="C75" s="379"/>
      <c r="D75" s="379"/>
      <c r="H75" s="207"/>
    </row>
    <row r="76" spans="2:8" s="65" customFormat="1" ht="16.5" customHeight="1">
      <c r="B76" s="350" t="s">
        <v>33</v>
      </c>
      <c r="C76" s="378">
        <f>SUM(C77:C79)</f>
        <v>202457.0711</v>
      </c>
      <c r="D76" s="378">
        <f>SUM(D77:D79)</f>
        <v>748888.7059989</v>
      </c>
      <c r="F76" s="347"/>
      <c r="G76" s="208"/>
      <c r="H76" s="208"/>
    </row>
    <row r="77" spans="2:8" s="65" customFormat="1" ht="16.5" customHeight="1">
      <c r="B77" s="342" t="s">
        <v>243</v>
      </c>
      <c r="C77" s="379">
        <v>97457.0711</v>
      </c>
      <c r="D77" s="379">
        <f>ROUND(+C77*$E$9,8)</f>
        <v>360493.7059989</v>
      </c>
      <c r="F77" s="347"/>
      <c r="G77" s="208"/>
      <c r="H77" s="208"/>
    </row>
    <row r="78" spans="2:8" s="65" customFormat="1" ht="16.5" customHeight="1">
      <c r="B78" s="342" t="s">
        <v>253</v>
      </c>
      <c r="C78" s="379">
        <v>85000</v>
      </c>
      <c r="D78" s="379">
        <f>ROUND(+C78*$E$9,8)</f>
        <v>314415</v>
      </c>
      <c r="F78" s="347"/>
      <c r="G78" s="208"/>
      <c r="H78" s="208"/>
    </row>
    <row r="79" spans="2:8" s="65" customFormat="1" ht="16.5" customHeight="1">
      <c r="B79" s="342" t="s">
        <v>246</v>
      </c>
      <c r="C79" s="379">
        <v>20000</v>
      </c>
      <c r="D79" s="379">
        <f>ROUND(+C79*$E$9,8)</f>
        <v>73980</v>
      </c>
      <c r="F79" s="347"/>
      <c r="G79" s="208"/>
      <c r="H79" s="208"/>
    </row>
    <row r="80" spans="2:4" s="65" customFormat="1" ht="9.75" customHeight="1">
      <c r="B80" s="63"/>
      <c r="C80" s="467"/>
      <c r="D80" s="467"/>
    </row>
    <row r="81" spans="2:8" s="65" customFormat="1" ht="16.5" customHeight="1">
      <c r="B81" s="350" t="s">
        <v>34</v>
      </c>
      <c r="C81" s="378">
        <f>SUM(C82:C87)</f>
        <v>402255.8965100001</v>
      </c>
      <c r="D81" s="378">
        <f>SUM(D82:D87)</f>
        <v>1487944.5611904901</v>
      </c>
      <c r="H81" s="207"/>
    </row>
    <row r="82" spans="2:8" s="65" customFormat="1" ht="16.5" customHeight="1">
      <c r="B82" s="342" t="s">
        <v>185</v>
      </c>
      <c r="C82" s="379">
        <v>153780.30086000008</v>
      </c>
      <c r="D82" s="379">
        <f aca="true" t="shared" si="2" ref="D82:D87">ROUND(+C82*$E$9,8)</f>
        <v>568833.33288114</v>
      </c>
      <c r="H82" s="207"/>
    </row>
    <row r="83" spans="2:8" s="65" customFormat="1" ht="16.5" customHeight="1">
      <c r="B83" s="342" t="s">
        <v>183</v>
      </c>
      <c r="C83" s="379">
        <v>87658.82669</v>
      </c>
      <c r="D83" s="379">
        <f t="shared" si="2"/>
        <v>324249.99992631</v>
      </c>
      <c r="H83" s="207"/>
    </row>
    <row r="84" spans="2:8" s="65" customFormat="1" ht="16.5" customHeight="1">
      <c r="B84" s="342" t="s">
        <v>186</v>
      </c>
      <c r="C84" s="379">
        <v>82133.19190999998</v>
      </c>
      <c r="D84" s="379">
        <f t="shared" si="2"/>
        <v>303810.67687509</v>
      </c>
      <c r="H84" s="207"/>
    </row>
    <row r="85" spans="2:8" s="65" customFormat="1" ht="16.5" customHeight="1">
      <c r="B85" s="342" t="s">
        <v>156</v>
      </c>
      <c r="C85" s="379">
        <v>51731.77886</v>
      </c>
      <c r="D85" s="379">
        <f t="shared" si="2"/>
        <v>191355.85000314</v>
      </c>
      <c r="H85" s="207"/>
    </row>
    <row r="86" spans="2:8" s="65" customFormat="1" ht="16.5" customHeight="1">
      <c r="B86" s="342" t="s">
        <v>182</v>
      </c>
      <c r="C86" s="379">
        <v>23451.798189999998</v>
      </c>
      <c r="D86" s="379">
        <f t="shared" si="2"/>
        <v>86748.20150481</v>
      </c>
      <c r="H86" s="207"/>
    </row>
    <row r="87" spans="2:8" s="65" customFormat="1" ht="14.25">
      <c r="B87" s="530" t="s">
        <v>260</v>
      </c>
      <c r="C87" s="529">
        <v>3500</v>
      </c>
      <c r="D87" s="529">
        <f t="shared" si="2"/>
        <v>12946.5</v>
      </c>
      <c r="H87" s="207"/>
    </row>
    <row r="88" spans="2:8" s="65" customFormat="1" ht="9" customHeight="1">
      <c r="B88" s="64"/>
      <c r="C88" s="379"/>
      <c r="D88" s="379"/>
      <c r="H88" s="207"/>
    </row>
    <row r="89" spans="2:8" s="65" customFormat="1" ht="15" customHeight="1">
      <c r="B89" s="628" t="s">
        <v>60</v>
      </c>
      <c r="C89" s="617">
        <f>+C67+C74</f>
        <v>604712.9676100002</v>
      </c>
      <c r="D89" s="617">
        <f>+D67+D74</f>
        <v>2236833.26718939</v>
      </c>
      <c r="F89" s="347"/>
      <c r="H89" s="207"/>
    </row>
    <row r="90" spans="2:8" s="81" customFormat="1" ht="15" customHeight="1">
      <c r="B90" s="629"/>
      <c r="C90" s="618"/>
      <c r="D90" s="618"/>
      <c r="F90" s="215"/>
      <c r="H90" s="207"/>
    </row>
    <row r="91" ht="12.75">
      <c r="C91" s="191"/>
    </row>
    <row r="92" spans="3:4" ht="12.75">
      <c r="C92" s="102"/>
      <c r="D92" s="287"/>
    </row>
    <row r="93" spans="3:4" ht="12.75">
      <c r="C93" s="289"/>
      <c r="D93" s="289"/>
    </row>
    <row r="94" ht="12.75">
      <c r="C94" s="430"/>
    </row>
    <row r="95" ht="12.75">
      <c r="C95" s="430"/>
    </row>
    <row r="96" ht="12.75">
      <c r="C96" s="430"/>
    </row>
    <row r="97" ht="12.75">
      <c r="C97" s="430"/>
    </row>
    <row r="98" ht="12.75">
      <c r="C98" s="430"/>
    </row>
    <row r="99" ht="12.75">
      <c r="C99" s="430"/>
    </row>
    <row r="100" ht="12.75">
      <c r="C100" s="430"/>
    </row>
  </sheetData>
  <sheetProtection/>
  <mergeCells count="14">
    <mergeCell ref="D64:D65"/>
    <mergeCell ref="B11:B12"/>
    <mergeCell ref="D48:D49"/>
    <mergeCell ref="C11:C12"/>
    <mergeCell ref="B10:D10"/>
    <mergeCell ref="B89:B90"/>
    <mergeCell ref="C89:C90"/>
    <mergeCell ref="D89:D90"/>
    <mergeCell ref="B63:D63"/>
    <mergeCell ref="B64:B65"/>
    <mergeCell ref="D11:D12"/>
    <mergeCell ref="C48:C49"/>
    <mergeCell ref="B48:B49"/>
    <mergeCell ref="C64:C65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7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90</v>
      </c>
      <c r="C5" s="129"/>
      <c r="D5" s="129"/>
      <c r="I5" s="277"/>
    </row>
    <row r="6" spans="2:9" ht="18">
      <c r="B6" s="317" t="s">
        <v>135</v>
      </c>
      <c r="C6" s="317"/>
      <c r="D6" s="317"/>
      <c r="I6" s="287"/>
    </row>
    <row r="7" spans="2:4" ht="18">
      <c r="B7" s="317" t="s">
        <v>134</v>
      </c>
      <c r="C7" s="317"/>
      <c r="D7" s="317"/>
    </row>
    <row r="8" spans="2:4" ht="16.5">
      <c r="B8" s="341" t="s">
        <v>1</v>
      </c>
      <c r="C8" s="184"/>
      <c r="D8" s="184"/>
    </row>
    <row r="9" spans="2:5" ht="15.75">
      <c r="B9" s="133" t="str">
        <f>+'DEP-C2'!B9</f>
        <v>Al 31 de agosto de 2023</v>
      </c>
      <c r="C9" s="133"/>
      <c r="D9" s="265"/>
      <c r="E9" s="316">
        <f>+Portada!H39</f>
        <v>3.699</v>
      </c>
    </row>
    <row r="10" spans="2:4" ht="9.75" customHeight="1">
      <c r="B10" s="627"/>
      <c r="C10" s="627"/>
      <c r="D10" s="627"/>
    </row>
    <row r="11" spans="2:4" ht="16.5" customHeight="1">
      <c r="B11" s="613" t="s">
        <v>149</v>
      </c>
      <c r="C11" s="609" t="s">
        <v>86</v>
      </c>
      <c r="D11" s="632" t="s">
        <v>163</v>
      </c>
    </row>
    <row r="12" spans="2:8" s="81" customFormat="1" ht="16.5" customHeight="1">
      <c r="B12" s="614"/>
      <c r="C12" s="610"/>
      <c r="D12" s="633"/>
      <c r="H12" s="205"/>
    </row>
    <row r="13" spans="2:8" s="81" customFormat="1" ht="9.75" customHeight="1">
      <c r="B13" s="253"/>
      <c r="C13" s="495"/>
      <c r="D13" s="138"/>
      <c r="H13" s="205"/>
    </row>
    <row r="14" spans="2:9" s="65" customFormat="1" ht="16.5" customHeight="1">
      <c r="B14" s="360" t="s">
        <v>0</v>
      </c>
      <c r="C14" s="496">
        <f>SUM(C15:C16)</f>
        <v>4711750.36522</v>
      </c>
      <c r="D14" s="466">
        <f>SUM(D15:D16)</f>
        <v>17428764.60094874</v>
      </c>
      <c r="E14" s="218"/>
      <c r="F14" s="347"/>
      <c r="G14" s="290"/>
      <c r="H14" s="290"/>
      <c r="I14" s="290"/>
    </row>
    <row r="15" spans="2:8" s="65" customFormat="1" ht="16.5" customHeight="1">
      <c r="B15" s="69" t="s">
        <v>24</v>
      </c>
      <c r="C15" s="497">
        <v>453517.57336</v>
      </c>
      <c r="D15" s="465">
        <f>ROUND(+C15*$E$9,8)</f>
        <v>1677561.50385864</v>
      </c>
      <c r="E15" s="453"/>
      <c r="F15" s="346"/>
      <c r="G15" s="351"/>
      <c r="H15" s="290"/>
    </row>
    <row r="16" spans="2:8" s="65" customFormat="1" ht="16.5" customHeight="1">
      <c r="B16" s="69" t="s">
        <v>25</v>
      </c>
      <c r="C16" s="497">
        <v>4258232.79186</v>
      </c>
      <c r="D16" s="465">
        <f>ROUND(+C16*$E$9,8)</f>
        <v>15751203.0970901</v>
      </c>
      <c r="E16" s="453"/>
      <c r="F16" s="346"/>
      <c r="G16" s="290"/>
      <c r="H16" s="290"/>
    </row>
    <row r="17" spans="2:8" s="65" customFormat="1" ht="12" customHeight="1">
      <c r="B17" s="69"/>
      <c r="C17" s="497"/>
      <c r="D17" s="465"/>
      <c r="E17" s="452"/>
      <c r="H17" s="209"/>
    </row>
    <row r="18" spans="2:8" s="65" customFormat="1" ht="16.5" customHeight="1">
      <c r="B18" s="360" t="s">
        <v>187</v>
      </c>
      <c r="C18" s="496">
        <f>SUM(C19:C19)</f>
        <v>55336.43549</v>
      </c>
      <c r="D18" s="466">
        <f>SUM(D19:D19)</f>
        <v>204689.47487751</v>
      </c>
      <c r="E18" s="452"/>
      <c r="F18" s="347"/>
      <c r="G18" s="291"/>
      <c r="H18" s="291"/>
    </row>
    <row r="19" spans="2:8" s="65" customFormat="1" ht="16.5" customHeight="1">
      <c r="B19" s="69" t="s">
        <v>24</v>
      </c>
      <c r="C19" s="497">
        <v>55336.43549</v>
      </c>
      <c r="D19" s="465">
        <f>ROUND(+C19*$E$9,8)</f>
        <v>204689.47487751</v>
      </c>
      <c r="E19" s="453"/>
      <c r="F19" s="346"/>
      <c r="H19" s="209"/>
    </row>
    <row r="20" spans="2:8" s="65" customFormat="1" ht="11.25" customHeight="1">
      <c r="B20" s="69"/>
      <c r="C20" s="497"/>
      <c r="D20" s="465"/>
      <c r="E20" s="452"/>
      <c r="H20" s="209"/>
    </row>
    <row r="21" spans="2:8" s="65" customFormat="1" ht="16.5" customHeight="1">
      <c r="B21" s="360" t="s">
        <v>188</v>
      </c>
      <c r="C21" s="496">
        <f>+C22</f>
        <v>4083333.33331</v>
      </c>
      <c r="D21" s="466">
        <f>+D22</f>
        <v>15104249.9999137</v>
      </c>
      <c r="E21" s="452"/>
      <c r="F21" s="347"/>
      <c r="H21" s="209"/>
    </row>
    <row r="22" spans="2:8" s="65" customFormat="1" ht="16.5" customHeight="1">
      <c r="B22" s="69" t="s">
        <v>24</v>
      </c>
      <c r="C22" s="497">
        <v>4083333.33331</v>
      </c>
      <c r="D22" s="465">
        <f>ROUND(+C22*$E$9,8)</f>
        <v>15104249.9999137</v>
      </c>
      <c r="E22" s="453"/>
      <c r="F22" s="346"/>
      <c r="H22" s="209"/>
    </row>
    <row r="23" spans="2:8" s="65" customFormat="1" ht="9.75" customHeight="1">
      <c r="B23" s="68"/>
      <c r="C23" s="498"/>
      <c r="D23" s="464"/>
      <c r="F23" s="346"/>
      <c r="H23" s="209"/>
    </row>
    <row r="24" spans="2:8" s="65" customFormat="1" ht="15" customHeight="1">
      <c r="B24" s="622" t="s">
        <v>60</v>
      </c>
      <c r="C24" s="630">
        <f>+C18+C14+C21</f>
        <v>8850420.13402</v>
      </c>
      <c r="D24" s="634">
        <f>+D18+D14+D21</f>
        <v>32737704.07573995</v>
      </c>
      <c r="F24" s="347"/>
      <c r="H24" s="209"/>
    </row>
    <row r="25" spans="2:8" s="81" customFormat="1" ht="15" customHeight="1">
      <c r="B25" s="623"/>
      <c r="C25" s="631"/>
      <c r="D25" s="635"/>
      <c r="H25" s="205"/>
    </row>
    <row r="26" spans="2:8" s="81" customFormat="1" ht="7.5" customHeight="1">
      <c r="B26" s="250"/>
      <c r="C26" s="139"/>
      <c r="D26" s="139"/>
      <c r="H26" s="205"/>
    </row>
    <row r="27" spans="2:8" s="65" customFormat="1" ht="17.25" customHeight="1">
      <c r="B27" s="448" t="s">
        <v>189</v>
      </c>
      <c r="C27" s="503"/>
      <c r="D27" s="448"/>
      <c r="H27" s="209"/>
    </row>
    <row r="28" spans="2:8" s="65" customFormat="1" ht="17.25" customHeight="1">
      <c r="B28" s="448" t="s">
        <v>190</v>
      </c>
      <c r="C28" s="449"/>
      <c r="D28" s="448"/>
      <c r="H28" s="209"/>
    </row>
    <row r="29" spans="3:4" ht="12.75">
      <c r="C29" s="244"/>
      <c r="D29" s="244"/>
    </row>
    <row r="30" ht="12.75">
      <c r="C30" s="292"/>
    </row>
    <row r="32" spans="3:4" ht="12.75">
      <c r="C32" s="131"/>
      <c r="D32" s="131"/>
    </row>
    <row r="33" spans="2:8" s="136" customFormat="1" ht="18">
      <c r="B33" s="129" t="s">
        <v>118</v>
      </c>
      <c r="C33" s="129"/>
      <c r="D33" s="129"/>
      <c r="H33" s="219"/>
    </row>
    <row r="34" spans="2:8" s="136" customFormat="1" ht="18">
      <c r="B34" s="317" t="s">
        <v>135</v>
      </c>
      <c r="C34" s="317"/>
      <c r="D34" s="317"/>
      <c r="H34" s="219"/>
    </row>
    <row r="35" spans="2:8" s="136" customFormat="1" ht="18">
      <c r="B35" s="317" t="s">
        <v>136</v>
      </c>
      <c r="C35" s="317"/>
      <c r="D35" s="317"/>
      <c r="H35" s="219"/>
    </row>
    <row r="36" spans="2:8" s="136" customFormat="1" ht="18">
      <c r="B36" s="341" t="s">
        <v>1</v>
      </c>
      <c r="C36" s="184"/>
      <c r="D36" s="184"/>
      <c r="H36" s="219"/>
    </row>
    <row r="37" spans="2:8" s="136" customFormat="1" ht="18">
      <c r="B37" s="133" t="str">
        <f>+B9</f>
        <v>Al 31 de agosto de 2023</v>
      </c>
      <c r="C37" s="133"/>
      <c r="D37" s="252"/>
      <c r="H37" s="219"/>
    </row>
    <row r="38" spans="2:4" ht="9.75" customHeight="1">
      <c r="B38" s="627"/>
      <c r="C38" s="627"/>
      <c r="D38" s="627"/>
    </row>
    <row r="39" spans="2:4" ht="16.5" customHeight="1">
      <c r="B39" s="613" t="s">
        <v>149</v>
      </c>
      <c r="C39" s="609" t="s">
        <v>86</v>
      </c>
      <c r="D39" s="609" t="s">
        <v>163</v>
      </c>
    </row>
    <row r="40" spans="2:8" s="81" customFormat="1" ht="16.5" customHeight="1">
      <c r="B40" s="614"/>
      <c r="C40" s="610"/>
      <c r="D40" s="610"/>
      <c r="H40" s="205"/>
    </row>
    <row r="41" spans="2:8" s="81" customFormat="1" ht="9.75" customHeight="1">
      <c r="B41" s="253"/>
      <c r="C41" s="259"/>
      <c r="D41" s="140"/>
      <c r="H41" s="205"/>
    </row>
    <row r="42" spans="2:8" s="65" customFormat="1" ht="16.5" customHeight="1">
      <c r="B42" s="360" t="s">
        <v>0</v>
      </c>
      <c r="C42" s="378">
        <f>SUM(C43:C44)</f>
        <v>356755.89651</v>
      </c>
      <c r="D42" s="466">
        <f>SUM(D43:D44)</f>
        <v>1319640.06119049</v>
      </c>
      <c r="E42" s="218"/>
      <c r="H42" s="209"/>
    </row>
    <row r="43" spans="2:8" s="65" customFormat="1" ht="16.5" customHeight="1">
      <c r="B43" s="69" t="s">
        <v>24</v>
      </c>
      <c r="C43" s="379">
        <v>356755.89651</v>
      </c>
      <c r="D43" s="465">
        <f>ROUND(+C43*$E$9,8)</f>
        <v>1319640.06119049</v>
      </c>
      <c r="E43" s="218"/>
      <c r="F43" s="359"/>
      <c r="H43" s="209"/>
    </row>
    <row r="44" spans="2:8" s="65" customFormat="1" ht="16.5" customHeight="1" hidden="1">
      <c r="B44" s="69" t="s">
        <v>25</v>
      </c>
      <c r="C44" s="379">
        <v>0</v>
      </c>
      <c r="D44" s="465">
        <f>ROUND(+C44*$E$9,8)</f>
        <v>0</v>
      </c>
      <c r="E44" s="218"/>
      <c r="F44" s="359"/>
      <c r="H44" s="209"/>
    </row>
    <row r="45" spans="2:8" s="65" customFormat="1" ht="12" customHeight="1">
      <c r="B45" s="69"/>
      <c r="C45" s="379"/>
      <c r="D45" s="465"/>
      <c r="E45" s="218"/>
      <c r="H45" s="209"/>
    </row>
    <row r="46" spans="2:8" s="65" customFormat="1" ht="16.5" customHeight="1">
      <c r="B46" s="360" t="s">
        <v>158</v>
      </c>
      <c r="C46" s="378">
        <f>+C47</f>
        <v>247957.0711</v>
      </c>
      <c r="D46" s="466">
        <f>+D47</f>
        <v>917193.2059989</v>
      </c>
      <c r="E46" s="220"/>
      <c r="F46" s="109"/>
      <c r="H46" s="209"/>
    </row>
    <row r="47" spans="2:8" s="65" customFormat="1" ht="16.5" customHeight="1">
      <c r="B47" s="69" t="s">
        <v>24</v>
      </c>
      <c r="C47" s="379">
        <v>247957.0711</v>
      </c>
      <c r="D47" s="465">
        <f>ROUND(+C47*$E$9,8)</f>
        <v>917193.2059989</v>
      </c>
      <c r="E47" s="220"/>
      <c r="F47" s="351"/>
      <c r="H47" s="209"/>
    </row>
    <row r="48" spans="2:8" s="65" customFormat="1" ht="9.75" customHeight="1">
      <c r="B48" s="68"/>
      <c r="C48" s="386"/>
      <c r="D48" s="464"/>
      <c r="H48" s="209"/>
    </row>
    <row r="49" spans="2:8" s="65" customFormat="1" ht="15" customHeight="1">
      <c r="B49" s="622" t="s">
        <v>60</v>
      </c>
      <c r="C49" s="617">
        <f>+C42+C46</f>
        <v>604712.9676099999</v>
      </c>
      <c r="D49" s="634">
        <f>+D42+D46</f>
        <v>2236833.26718939</v>
      </c>
      <c r="H49" s="209"/>
    </row>
    <row r="50" spans="2:8" s="81" customFormat="1" ht="15" customHeight="1">
      <c r="B50" s="623"/>
      <c r="C50" s="618"/>
      <c r="D50" s="635"/>
      <c r="H50" s="205"/>
    </row>
    <row r="51" ht="4.5" customHeight="1"/>
    <row r="52" spans="3:4" ht="12.75">
      <c r="C52" s="430"/>
      <c r="D52" s="244"/>
    </row>
    <row r="53" ht="12.75">
      <c r="C53" s="168"/>
    </row>
    <row r="56" ht="12.75">
      <c r="C56" s="168"/>
    </row>
  </sheetData>
  <sheetProtection/>
  <mergeCells count="14">
    <mergeCell ref="B49:B50"/>
    <mergeCell ref="C49:C50"/>
    <mergeCell ref="D49:D50"/>
    <mergeCell ref="B39:B40"/>
    <mergeCell ref="C11:C12"/>
    <mergeCell ref="B24:B25"/>
    <mergeCell ref="C39:C40"/>
    <mergeCell ref="D39:D40"/>
    <mergeCell ref="B10:D10"/>
    <mergeCell ref="C24:C25"/>
    <mergeCell ref="D11:D12"/>
    <mergeCell ref="B11:B12"/>
    <mergeCell ref="B38:D38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2023-10-24T10:44:48Z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