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3285" activeTab="0"/>
  </bookViews>
  <sheets>
    <sheet name="EJECUC(AMT)" sheetId="1" r:id="rId1"/>
    <sheet name="EJECUC(INT)" sheetId="2" r:id="rId2"/>
    <sheet name="EJECUC(TOTAL)" sheetId="3" r:id="rId3"/>
  </sheets>
  <externalReferences>
    <externalReference r:id="rId6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'EJECUC(AMT)'!#REF!</definedName>
    <definedName name="A_impresión_IM" localSheetId="1">'EJECUC(INT)'!#REF!</definedName>
    <definedName name="A_impresión_IM" localSheetId="2">'EJECUC(TOTAL)'!#REF!</definedName>
    <definedName name="A_impresión_IM">#REF!</definedName>
    <definedName name="_xlnm.Print_Area" localSheetId="0">'EJECUC(AMT)'!$A$1:$I$126</definedName>
    <definedName name="_xlnm.Print_Area" localSheetId="1">'EJECUC(INT)'!$A$1:$I$126</definedName>
    <definedName name="_xlnm.Print_Area" localSheetId="2">'EJECUC(TOTAL)'!$A$13:$N$151</definedName>
    <definedName name="Imprimir_área_IM">#REF!</definedName>
    <definedName name="_xlnm.Print_Titles" localSheetId="2">'EJECUC(TOTAL)'!$1:$12</definedName>
  </definedNames>
  <calcPr fullCalcOnLoad="1"/>
</workbook>
</file>

<file path=xl/sharedStrings.xml><?xml version="1.0" encoding="utf-8"?>
<sst xmlns="http://schemas.openxmlformats.org/spreadsheetml/2006/main" count="165" uniqueCount="115">
  <si>
    <t>ORGANIS.</t>
  </si>
  <si>
    <t>CLUB DE</t>
  </si>
  <si>
    <t>AMERICA</t>
  </si>
  <si>
    <t>BANCA</t>
  </si>
  <si>
    <t>EUROPA DEL</t>
  </si>
  <si>
    <t>PERIODO</t>
  </si>
  <si>
    <t>INTERNAC.</t>
  </si>
  <si>
    <t>PARIS</t>
  </si>
  <si>
    <t>LATINA</t>
  </si>
  <si>
    <t>PROVEED.</t>
  </si>
  <si>
    <t>TOTAL</t>
  </si>
  <si>
    <t>BONOS</t>
  </si>
  <si>
    <t>MINISTERIO DE ECONOMÍA Y FINANZAS</t>
  </si>
  <si>
    <t>DEUDA PÚBLICA EXTERNA DE MEDIANO Y LARGO PLAZO</t>
  </si>
  <si>
    <r>
      <t xml:space="preserve">Nota:  -  </t>
    </r>
    <r>
      <rPr>
        <sz val="11"/>
        <color indexed="18"/>
        <rFont val="Arial"/>
        <family val="2"/>
      </rPr>
      <t>Ejecución en diferentes monedas, la valorización en USD. es con tipo de cambio en fecha de transacción.</t>
    </r>
  </si>
  <si>
    <r>
      <t xml:space="preserve">    </t>
    </r>
    <r>
      <rPr>
        <sz val="11"/>
        <color indexed="18"/>
        <rFont val="Arial"/>
        <family val="2"/>
      </rPr>
      <t xml:space="preserve">       -  Incluye préstamos de COFIDE sin Garantía de la Republica.</t>
    </r>
  </si>
  <si>
    <t>SERVICIO (PRINCIPAL) POR FUENTES DE FINANCIAMIENTO</t>
  </si>
  <si>
    <t>(En Millones de US dólares)</t>
  </si>
  <si>
    <r>
      <t xml:space="preserve">ESTE    </t>
    </r>
    <r>
      <rPr>
        <b/>
        <sz val="11"/>
        <color indexed="10"/>
        <rFont val="Arial"/>
        <family val="2"/>
      </rPr>
      <t>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</si>
  <si>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República Popular China.</t>
    </r>
  </si>
  <si>
    <t>SERVICIO (INTERESES Y COMISIONES) POR FUENTES DE FINANCIAMIENTO</t>
  </si>
  <si>
    <t>SERVICIO POR FUENTES DE FINANCIAMIENTO</t>
  </si>
  <si>
    <t>a/</t>
  </si>
  <si>
    <t>b/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</si>
  <si>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US$ 361 millones por prepago de la refinanciación bancaria del año 1979.</t>
    </r>
  </si>
  <si>
    <r>
      <t xml:space="preserve"> </t>
    </r>
    <r>
      <rPr>
        <b/>
        <sz val="11"/>
        <color indexed="10"/>
        <rFont val="Arial"/>
        <family val="2"/>
      </rPr>
      <t>b/</t>
    </r>
    <r>
      <rPr>
        <b/>
        <sz val="11"/>
        <color indexed="18"/>
        <rFont val="Arial"/>
        <family val="2"/>
      </rPr>
      <t xml:space="preserve">  </t>
    </r>
    <r>
      <rPr>
        <sz val="11"/>
        <color indexed="18"/>
        <rFont val="Arial"/>
        <family val="2"/>
      </rPr>
      <t xml:space="preserve"> Incluye US$ 358 millones por prepago de la reestructuración bancaria del año 1980.</t>
    </r>
  </si>
  <si>
    <t>c/</t>
  </si>
  <si>
    <t>d/</t>
  </si>
  <si>
    <r>
      <t xml:space="preserve"> </t>
    </r>
    <r>
      <rPr>
        <b/>
        <sz val="11"/>
        <color indexed="10"/>
        <rFont val="Arial"/>
        <family val="2"/>
      </rPr>
      <t>c/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US$ 418 millones de pago por regularización de atrasos al BID, financiado con préstamo BID.</t>
    </r>
  </si>
  <si>
    <r>
      <t xml:space="preserve"> </t>
    </r>
    <r>
      <rPr>
        <b/>
        <sz val="11"/>
        <color indexed="10"/>
        <rFont val="Arial"/>
        <family val="2"/>
      </rPr>
      <t>d/</t>
    </r>
    <r>
      <rPr>
        <b/>
        <sz val="11"/>
        <color indexed="18"/>
        <rFont val="Arial"/>
        <family val="2"/>
      </rPr>
      <t xml:space="preserve">   </t>
    </r>
    <r>
      <rPr>
        <sz val="11"/>
        <color indexed="18"/>
        <rFont val="Arial"/>
        <family val="2"/>
      </rPr>
      <t>Incluye US$ 867 millones de pago por regularización de atrasos al BM, financiado con préstamo BM.</t>
    </r>
  </si>
  <si>
    <t>e/</t>
  </si>
  <si>
    <r>
      <t xml:space="preserve"> </t>
    </r>
    <r>
      <rPr>
        <b/>
        <sz val="11"/>
        <color indexed="10"/>
        <rFont val="Arial"/>
        <family val="2"/>
      </rPr>
      <t>e/</t>
    </r>
    <r>
      <rPr>
        <sz val="11"/>
        <color indexed="18"/>
        <rFont val="Arial"/>
        <family val="2"/>
      </rPr>
      <t xml:space="preserve">   Incluye US$ 950 millones de pagos por recompra y US$ 239 millones de pago de intereses por arreglo BRADY, financiado con préstamos: BID, BIRF y JBIC.</t>
    </r>
  </si>
  <si>
    <t>f/</t>
  </si>
  <si>
    <r>
      <t xml:space="preserve"> </t>
    </r>
    <r>
      <rPr>
        <b/>
        <sz val="11"/>
        <color indexed="10"/>
        <rFont val="Arial"/>
        <family val="2"/>
      </rPr>
      <t>f/</t>
    </r>
    <r>
      <rPr>
        <sz val="11"/>
        <color indexed="18"/>
        <rFont val="Arial"/>
        <family val="2"/>
      </rPr>
      <t xml:space="preserve">   Incluye US$ 245 millones por prepago de COFIDE al BID.</t>
    </r>
  </si>
  <si>
    <t>g/</t>
  </si>
  <si>
    <r>
      <t xml:space="preserve"> </t>
    </r>
    <r>
      <rPr>
        <b/>
        <sz val="11"/>
        <color indexed="10"/>
        <rFont val="Arial"/>
        <family val="2"/>
      </rPr>
      <t xml:space="preserve">g/ </t>
    </r>
    <r>
      <rPr>
        <sz val="11"/>
        <color indexed="18"/>
        <rFont val="Arial"/>
        <family val="2"/>
      </rPr>
      <t xml:space="preserve">  Incluye US$ 58 millones por pago de la deuda en litigio con Elliot.</t>
    </r>
  </si>
  <si>
    <t>h/</t>
  </si>
  <si>
    <t>i/</t>
  </si>
  <si>
    <t>j/</t>
  </si>
  <si>
    <t>k/</t>
  </si>
  <si>
    <t>m/</t>
  </si>
  <si>
    <r>
      <t xml:space="preserve"> h/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US$ 20 millones por prepagos de LA REPUBLICA al BIRF y de COFIDE a la CAF.</t>
    </r>
  </si>
  <si>
    <r>
      <t xml:space="preserve"> i/</t>
    </r>
    <r>
      <rPr>
        <sz val="11"/>
        <color indexed="18"/>
        <rFont val="Arial"/>
        <family val="2"/>
      </rPr>
      <t xml:space="preserve">   Incluye US$ 13 millones por prepago de LA REPUBLICA al JBIC.</t>
    </r>
  </si>
  <si>
    <r>
      <t xml:space="preserve"> </t>
    </r>
    <r>
      <rPr>
        <b/>
        <sz val="11"/>
        <color indexed="10"/>
        <rFont val="Arial"/>
        <family val="2"/>
      </rPr>
      <t>j/</t>
    </r>
    <r>
      <rPr>
        <sz val="11"/>
        <color indexed="18"/>
        <rFont val="Arial"/>
        <family val="2"/>
      </rPr>
      <t xml:space="preserve">   Incluye US$ 12 millones por prepago de COFIDE al BLADEX.</t>
    </r>
  </si>
  <si>
    <t>l/</t>
  </si>
  <si>
    <t>n/</t>
  </si>
  <si>
    <t>o/</t>
  </si>
  <si>
    <t>p/</t>
  </si>
  <si>
    <t>s/</t>
  </si>
  <si>
    <t>y/</t>
  </si>
  <si>
    <r>
      <t xml:space="preserve"> </t>
    </r>
    <r>
      <rPr>
        <b/>
        <sz val="11"/>
        <color indexed="10"/>
        <rFont val="Arial"/>
        <family val="2"/>
      </rPr>
      <t>k/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 millones de pago de deuda por regularización de atrasos al Latin World Securities.</t>
    </r>
  </si>
  <si>
    <r>
      <t xml:space="preserve"> </t>
    </r>
    <r>
      <rPr>
        <b/>
        <sz val="11"/>
        <color indexed="10"/>
        <rFont val="Arial"/>
        <family val="2"/>
      </rPr>
      <t>l/</t>
    </r>
    <r>
      <rPr>
        <sz val="11"/>
        <color indexed="10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US$ 20 millones por prepago de LA REPUBLICA al BIRF por aplicación de Liberación de Colaterales.</t>
    </r>
  </si>
  <si>
    <r>
      <t xml:space="preserve"> m/</t>
    </r>
    <r>
      <rPr>
        <sz val="11"/>
        <color indexed="18"/>
        <rFont val="Arial"/>
        <family val="2"/>
      </rPr>
      <t xml:space="preserve">   Incluye US$ 32 millones por prepago de LA REPUBLICA al JBIC por aplicación de Liberación de Colaterales.</t>
    </r>
  </si>
  <si>
    <r>
      <t xml:space="preserve"> n/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US$ 6 millones por prepago de COFIDE al BLADEX.</t>
    </r>
  </si>
  <si>
    <r>
      <t xml:space="preserve"> </t>
    </r>
    <r>
      <rPr>
        <b/>
        <sz val="11"/>
        <color indexed="10"/>
        <rFont val="Arial"/>
        <family val="2"/>
      </rPr>
      <t>p/</t>
    </r>
    <r>
      <rPr>
        <sz val="11"/>
        <color indexed="10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US$ 2 millones por prepago de SEDAPAL al JBIC.</t>
    </r>
  </si>
  <si>
    <r>
      <t xml:space="preserve"> </t>
    </r>
    <r>
      <rPr>
        <b/>
        <sz val="11"/>
        <color indexed="10"/>
        <rFont val="Arial"/>
        <family val="2"/>
      </rPr>
      <t>q/</t>
    </r>
    <r>
      <rPr>
        <sz val="11"/>
        <color indexed="10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el Pre-pago con el Club de París por US$ 1 555 millones.</t>
    </r>
  </si>
  <si>
    <r>
      <t xml:space="preserve"> </t>
    </r>
    <r>
      <rPr>
        <b/>
        <sz val="11"/>
        <color indexed="10"/>
        <rFont val="Arial"/>
        <family val="2"/>
      </rPr>
      <t>r/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el Pre-pago con JAPECO por US$ 757 millones.</t>
    </r>
  </si>
  <si>
    <t>q/</t>
  </si>
  <si>
    <t>r/</t>
  </si>
  <si>
    <r>
      <t xml:space="preserve"> </t>
    </r>
    <r>
      <rPr>
        <b/>
        <sz val="11"/>
        <color indexed="10"/>
        <rFont val="Arial"/>
        <family val="2"/>
      </rPr>
      <t>s/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Incluye el Pre-pago con JAPECO por US$ 86 millones.</t>
    </r>
  </si>
  <si>
    <r>
      <t xml:space="preserve"> </t>
    </r>
    <r>
      <rPr>
        <b/>
        <sz val="11"/>
        <color indexed="10"/>
        <rFont val="Arial"/>
        <family val="2"/>
      </rPr>
      <t xml:space="preserve">t/ </t>
    </r>
    <r>
      <rPr>
        <sz val="11"/>
        <color indexed="18"/>
        <rFont val="Arial"/>
        <family val="2"/>
      </rPr>
      <t xml:space="preserve">  Incluye prepago de LA REPUBLICA al BIRF por US$ 14,3 millones por aplicación de Liberación de Colaterales.</t>
    </r>
  </si>
  <si>
    <r>
      <t xml:space="preserve"> </t>
    </r>
    <r>
      <rPr>
        <b/>
        <sz val="11"/>
        <color indexed="10"/>
        <rFont val="Arial"/>
        <family val="2"/>
      </rPr>
      <t>u/</t>
    </r>
    <r>
      <rPr>
        <sz val="11"/>
        <color indexed="10"/>
        <rFont val="Arial"/>
        <family val="2"/>
      </rPr>
      <t xml:space="preserve">  </t>
    </r>
    <r>
      <rPr>
        <sz val="11"/>
        <color indexed="18"/>
        <rFont val="Arial"/>
        <family val="2"/>
      </rPr>
      <t xml:space="preserve"> Incluye el Pre-pago con la CAF por US$ 261,6 millones.</t>
    </r>
  </si>
  <si>
    <r>
      <t xml:space="preserve"> </t>
    </r>
    <r>
      <rPr>
        <b/>
        <sz val="11"/>
        <color indexed="10"/>
        <rFont val="Arial"/>
        <family val="2"/>
      </rPr>
      <t>v/</t>
    </r>
    <r>
      <rPr>
        <b/>
        <sz val="11"/>
        <color indexed="18"/>
        <rFont val="Arial"/>
        <family val="2"/>
      </rPr>
      <t xml:space="preserve">  </t>
    </r>
    <r>
      <rPr>
        <sz val="11"/>
        <color indexed="18"/>
        <rFont val="Arial"/>
        <family val="2"/>
      </rPr>
      <t xml:space="preserve"> Incluye el Pre-pago con el CLUB DE PARÍS por US$ 1 792,7 millones.</t>
    </r>
  </si>
  <si>
    <r>
      <t xml:space="preserve"> </t>
    </r>
    <r>
      <rPr>
        <b/>
        <sz val="11"/>
        <color indexed="10"/>
        <rFont val="Arial"/>
        <family val="2"/>
      </rPr>
      <t>w/</t>
    </r>
    <r>
      <rPr>
        <sz val="11"/>
        <color indexed="10"/>
        <rFont val="Arial"/>
        <family val="2"/>
      </rPr>
      <t xml:space="preserve">   </t>
    </r>
    <r>
      <rPr>
        <sz val="11"/>
        <color indexed="18"/>
        <rFont val="Arial"/>
        <family val="2"/>
      </rPr>
      <t>Incluye Canje de Bonos por US$ 2 156,4 millones.</t>
    </r>
  </si>
  <si>
    <r>
      <t xml:space="preserve"> </t>
    </r>
    <r>
      <rPr>
        <b/>
        <sz val="11"/>
        <color indexed="10"/>
        <rFont val="Arial"/>
        <family val="2"/>
      </rPr>
      <t>x/</t>
    </r>
    <r>
      <rPr>
        <sz val="11"/>
        <color indexed="18"/>
        <rFont val="Arial"/>
        <family val="2"/>
      </rPr>
      <t xml:space="preserve">   Incluye el Pre-pago con la CAF por US$ 316,3 millones.</t>
    </r>
  </si>
  <si>
    <r>
      <t xml:space="preserve"> </t>
    </r>
    <r>
      <rPr>
        <b/>
        <sz val="11"/>
        <color indexed="10"/>
        <rFont val="Arial"/>
        <family val="2"/>
      </rPr>
      <t>y/</t>
    </r>
    <r>
      <rPr>
        <sz val="11"/>
        <color indexed="18"/>
        <rFont val="Arial"/>
        <family val="2"/>
      </rPr>
      <t xml:space="preserve">   Incluye el Pre-pago de Bonos Brady por US$ 816,4 millones.</t>
    </r>
  </si>
  <si>
    <t>w/</t>
  </si>
  <si>
    <t>x/</t>
  </si>
  <si>
    <r>
      <t xml:space="preserve"> o/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 xml:space="preserve">  Se cancelan Bonos Brady por US$ 1 203,5 millones. con Bonos Globales por US$ 923 millones</t>
    </r>
  </si>
  <si>
    <t>aa/</t>
  </si>
  <si>
    <t>ab/</t>
  </si>
  <si>
    <t>ac/</t>
  </si>
  <si>
    <t>t/ u/</t>
  </si>
  <si>
    <t>v/</t>
  </si>
  <si>
    <t>z/</t>
  </si>
  <si>
    <r>
      <t xml:space="preserve"> </t>
    </r>
    <r>
      <rPr>
        <b/>
        <sz val="11"/>
        <color indexed="10"/>
        <rFont val="Arial"/>
        <family val="2"/>
      </rPr>
      <t>ac/</t>
    </r>
    <r>
      <rPr>
        <sz val="11"/>
        <color indexed="18"/>
        <rFont val="Arial"/>
        <family val="2"/>
      </rPr>
      <t xml:space="preserve"> Incluye el Intercambio y la Recompra de Bonos GLOBALES.</t>
    </r>
  </si>
  <si>
    <t>ad/</t>
  </si>
  <si>
    <r>
      <t xml:space="preserve"> </t>
    </r>
    <r>
      <rPr>
        <b/>
        <sz val="11"/>
        <color indexed="10"/>
        <rFont val="Arial"/>
        <family val="2"/>
      </rPr>
      <t>aa/</t>
    </r>
    <r>
      <rPr>
        <sz val="11"/>
        <color indexed="18"/>
        <rFont val="Arial"/>
        <family val="2"/>
      </rPr>
      <t xml:space="preserve"> Incluye los Pre-pagos con el BID por US$ 785,48 millones y con la CAF por US$ 386,21 millones.</t>
    </r>
  </si>
  <si>
    <r>
      <t xml:space="preserve"> </t>
    </r>
    <r>
      <rPr>
        <b/>
        <sz val="11"/>
        <color indexed="10"/>
        <rFont val="Arial"/>
        <family val="2"/>
      </rPr>
      <t>z/</t>
    </r>
    <r>
      <rPr>
        <sz val="11"/>
        <color indexed="18"/>
        <rFont val="Arial"/>
        <family val="2"/>
      </rPr>
      <t xml:space="preserve">   Incluye el Pre-pago con el CLUB DE PARIS por US$ 885,1 millones.</t>
    </r>
  </si>
  <si>
    <r>
      <t xml:space="preserve"> </t>
    </r>
    <r>
      <rPr>
        <b/>
        <sz val="11"/>
        <color indexed="10"/>
        <rFont val="Arial"/>
        <family val="2"/>
      </rPr>
      <t>ab/</t>
    </r>
    <r>
      <rPr>
        <sz val="11"/>
        <color indexed="18"/>
        <rFont val="Arial"/>
        <family val="2"/>
      </rPr>
      <t xml:space="preserve"> Incluye el Pre-pago con JICA por US$ 853,16 millones.</t>
    </r>
  </si>
  <si>
    <r>
      <t xml:space="preserve"> </t>
    </r>
    <r>
      <rPr>
        <b/>
        <sz val="11"/>
        <color indexed="10"/>
        <rFont val="Arial"/>
        <family val="2"/>
      </rPr>
      <t>ad/</t>
    </r>
    <r>
      <rPr>
        <sz val="11"/>
        <color indexed="18"/>
        <rFont val="Arial"/>
        <family val="2"/>
      </rPr>
      <t xml:space="preserve"> - Incluye el Pre-pago con el BIRF por US$ 422,61 millones (incluyen comisiones).</t>
    </r>
  </si>
  <si>
    <t xml:space="preserve">       - Incluye el Pre-pago con el BID por US$ 1 348,23 millones (incluyen comisiones).</t>
  </si>
  <si>
    <t>ae/</t>
  </si>
  <si>
    <r>
      <t xml:space="preserve"> </t>
    </r>
    <r>
      <rPr>
        <b/>
        <sz val="11"/>
        <color indexed="10"/>
        <rFont val="Arial"/>
        <family val="2"/>
      </rPr>
      <t>ae/</t>
    </r>
    <r>
      <rPr>
        <sz val="11"/>
        <color indexed="18"/>
        <rFont val="Arial"/>
        <family val="2"/>
      </rPr>
      <t xml:space="preserve"> Incluye la recompra de BONOS GLOBALES (a valor de mercado).</t>
    </r>
  </si>
  <si>
    <t>af/</t>
  </si>
  <si>
    <r>
      <t xml:space="preserve"> </t>
    </r>
    <r>
      <rPr>
        <b/>
        <sz val="11"/>
        <color indexed="10"/>
        <rFont val="Arial"/>
        <family val="2"/>
      </rPr>
      <t xml:space="preserve">af/ </t>
    </r>
    <r>
      <rPr>
        <sz val="11"/>
        <color indexed="18"/>
        <rFont val="Arial"/>
        <family val="2"/>
      </rPr>
      <t xml:space="preserve"> Incluye la recompra de BONOS GLOBALES (a valor de mercado).</t>
    </r>
  </si>
  <si>
    <t>ag/</t>
  </si>
  <si>
    <r>
      <t xml:space="preserve"> </t>
    </r>
    <r>
      <rPr>
        <b/>
        <sz val="11"/>
        <color indexed="10"/>
        <rFont val="Arial"/>
        <family val="2"/>
      </rPr>
      <t xml:space="preserve">ag/ </t>
    </r>
    <r>
      <rPr>
        <sz val="11"/>
        <color indexed="18"/>
        <rFont val="Arial"/>
        <family val="2"/>
      </rPr>
      <t xml:space="preserve"> Incluye la recompra de BONOS GLOBALES (a valor de mercado).</t>
    </r>
  </si>
  <si>
    <r>
      <t xml:space="preserve"> </t>
    </r>
    <r>
      <rPr>
        <b/>
        <sz val="11"/>
        <color indexed="10"/>
        <rFont val="Arial"/>
        <family val="2"/>
      </rPr>
      <t>ai/</t>
    </r>
    <r>
      <rPr>
        <sz val="11"/>
        <color indexed="18"/>
        <rFont val="Arial"/>
        <family val="2"/>
      </rPr>
      <t xml:space="preserve"> Incluye el Pre-Pago con el JICA por US$ 430,3 millones.</t>
    </r>
  </si>
  <si>
    <r>
      <t xml:space="preserve"> </t>
    </r>
    <r>
      <rPr>
        <b/>
        <sz val="11"/>
        <color indexed="10"/>
        <rFont val="Arial"/>
        <family val="2"/>
      </rPr>
      <t>ah/</t>
    </r>
    <r>
      <rPr>
        <sz val="11"/>
        <color indexed="18"/>
        <rFont val="Arial"/>
        <family val="2"/>
      </rPr>
      <t xml:space="preserve"> Incluye el Pre-Pago con el BIRF por US$ 1 315,7 millones, el BID por US$ 1 262,1 millones y la CAF por US$ 88,9 millones.</t>
    </r>
  </si>
  <si>
    <t>ah/</t>
  </si>
  <si>
    <t>ai/</t>
  </si>
  <si>
    <t>DIRECCIÓN GENERAL  DEL TESORO PÚBLICO</t>
  </si>
  <si>
    <t>DIRECCIÓN DE ADMINISTRACIÓN DE DEUDA, CONTABILIDAD Y ESTADÍSTICA</t>
  </si>
  <si>
    <t>aj/</t>
  </si>
  <si>
    <t>ak/</t>
  </si>
  <si>
    <r>
      <t xml:space="preserve"> </t>
    </r>
    <r>
      <rPr>
        <b/>
        <sz val="11"/>
        <color indexed="10"/>
        <rFont val="Arial"/>
        <family val="2"/>
      </rPr>
      <t xml:space="preserve">ak/ </t>
    </r>
    <r>
      <rPr>
        <sz val="11"/>
        <color indexed="18"/>
        <rFont val="Arial"/>
        <family val="2"/>
      </rPr>
      <t xml:space="preserve"> Incluye la recompra de BONOS GLOBALES 2019 (a valor de mercado).</t>
    </r>
  </si>
  <si>
    <r>
      <t xml:space="preserve"> </t>
    </r>
    <r>
      <rPr>
        <b/>
        <sz val="11"/>
        <color indexed="10"/>
        <rFont val="Arial"/>
        <family val="2"/>
      </rPr>
      <t>aj/</t>
    </r>
    <r>
      <rPr>
        <sz val="11"/>
        <color indexed="18"/>
        <rFont val="Arial"/>
        <family val="2"/>
      </rPr>
      <t xml:space="preserve"> Incluye el Pre-Pago con el BIRF por US$ 213,4 millones, el BID por US$ 80,0 millones y la CAF por US$ 250,0 millones.</t>
    </r>
  </si>
  <si>
    <t>al/</t>
  </si>
  <si>
    <t>am/</t>
  </si>
  <si>
    <r>
      <t xml:space="preserve"> </t>
    </r>
    <r>
      <rPr>
        <b/>
        <sz val="11"/>
        <color indexed="10"/>
        <rFont val="Arial"/>
        <family val="2"/>
      </rPr>
      <t>al/</t>
    </r>
    <r>
      <rPr>
        <sz val="11"/>
        <color indexed="18"/>
        <rFont val="Arial"/>
        <family val="2"/>
      </rPr>
      <t xml:space="preserve"> Incluye el Pre-Pago con la CAF por US$ 82,0 millones.</t>
    </r>
  </si>
  <si>
    <r>
      <t xml:space="preserve"> </t>
    </r>
    <r>
      <rPr>
        <b/>
        <sz val="11"/>
        <color indexed="10"/>
        <rFont val="Arial"/>
        <family val="2"/>
      </rPr>
      <t xml:space="preserve">am/ </t>
    </r>
    <r>
      <rPr>
        <sz val="11"/>
        <color indexed="18"/>
        <rFont val="Arial"/>
        <family val="2"/>
      </rPr>
      <t xml:space="preserve"> Incluye la recompra de BONOS GLOBALES 2025, BONOS GLOBALES 2026, BONOS GLOBALES 2027, BONOS GLOBALES 2030, BONOS GLOBALES 2033</t>
    </r>
  </si>
  <si>
    <t xml:space="preserve">         y BONOS GLOBALES 2037 (a valor de mercado).</t>
  </si>
  <si>
    <t>an/</t>
  </si>
  <si>
    <t>ao/</t>
  </si>
  <si>
    <r>
      <t xml:space="preserve"> </t>
    </r>
    <r>
      <rPr>
        <b/>
        <sz val="11"/>
        <color indexed="10"/>
        <rFont val="Arial"/>
        <family val="2"/>
      </rPr>
      <t xml:space="preserve">an/ </t>
    </r>
    <r>
      <rPr>
        <sz val="11"/>
        <color indexed="18"/>
        <rFont val="Arial"/>
        <family val="2"/>
      </rPr>
      <t xml:space="preserve"> Incluye el Prepago de la CAF con COFIDE sin Garantía del Gobierno Nacional por US$ 55,5 millones.</t>
    </r>
  </si>
  <si>
    <t xml:space="preserve">        Gobierno Nacional por US$ 552,2 millones.</t>
  </si>
  <si>
    <t>ap/</t>
  </si>
  <si>
    <r>
      <t xml:space="preserve"> </t>
    </r>
    <r>
      <rPr>
        <b/>
        <sz val="11"/>
        <color indexed="10"/>
        <rFont val="Arial"/>
        <family val="2"/>
      </rPr>
      <t xml:space="preserve">ap/ </t>
    </r>
    <r>
      <rPr>
        <sz val="11"/>
        <color indexed="18"/>
        <rFont val="Arial"/>
        <family val="2"/>
      </rPr>
      <t xml:space="preserve"> Incluyen Canje de Bonos Globales Corporativos 2023 con FONDO MIVIVIENDA sin Garantía del Gobierno Nacional por US$ 477,0 millones y Recompra de los</t>
    </r>
  </si>
  <si>
    <t xml:space="preserve">        Bonos Globales Corporativos 2029 con COFIDE sin Garantía del Gobierno Nacional por US$ 45,0 millones.</t>
  </si>
  <si>
    <r>
      <t xml:space="preserve"> </t>
    </r>
    <r>
      <rPr>
        <b/>
        <sz val="11"/>
        <color indexed="10"/>
        <rFont val="Arial"/>
        <family val="2"/>
      </rPr>
      <t xml:space="preserve">ao/ </t>
    </r>
    <r>
      <rPr>
        <sz val="11"/>
        <color indexed="18"/>
        <rFont val="Arial"/>
        <family val="2"/>
      </rPr>
      <t xml:space="preserve"> Incluyen el Prepago de los Bonos a la Par por US$ 53,7 millones y el Prepago de los Bonos Globales Corporativos 2022 y 2025 con COFIDE sin Garantía del</t>
    </r>
  </si>
  <si>
    <t>DESDE 1970 AL 2023</t>
  </si>
  <si>
    <t>aq/</t>
  </si>
  <si>
    <r>
      <t xml:space="preserve"> </t>
    </r>
    <r>
      <rPr>
        <b/>
        <sz val="11"/>
        <color indexed="10"/>
        <rFont val="Arial"/>
        <family val="2"/>
      </rPr>
      <t xml:space="preserve">aq/ </t>
    </r>
    <r>
      <rPr>
        <sz val="11"/>
        <color indexed="18"/>
        <rFont val="Arial"/>
        <family val="2"/>
      </rPr>
      <t xml:space="preserve"> Incluye Recompra de BONOS GLOBALES 2025, BONOS GLOBALES 2026, BONOS GLOBALES 2027, BONOS GLOBALES 2030 y BONOS GLOBALES 2031 (a valor de mercado)</t>
    </r>
  </si>
  <si>
    <t xml:space="preserve">        por Bonos en Soles con denominación BONOS SOBERANOS 12AGO2033 (a valor de mercado).</t>
  </si>
</sst>
</file>

<file path=xl/styles.xml><?xml version="1.0" encoding="utf-8"?>
<styleSheet xmlns="http://schemas.openxmlformats.org/spreadsheetml/2006/main">
  <numFmts count="3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0.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7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ms Rmn"/>
      <family val="0"/>
    </font>
    <font>
      <b/>
      <sz val="8"/>
      <name val="Tms Rmn"/>
      <family val="0"/>
    </font>
    <font>
      <b/>
      <sz val="12"/>
      <name val="CG Omega"/>
      <family val="2"/>
    </font>
    <font>
      <b/>
      <sz val="16"/>
      <name val="CG Omega"/>
      <family val="2"/>
    </font>
    <font>
      <b/>
      <sz val="16"/>
      <name val="CG Omega (W1)"/>
      <family val="2"/>
    </font>
    <font>
      <b/>
      <sz val="14"/>
      <name val="CG Omega (W1)"/>
      <family val="2"/>
    </font>
    <font>
      <sz val="12"/>
      <name val="CG Omega (W1)"/>
      <family val="2"/>
    </font>
    <font>
      <b/>
      <sz val="12"/>
      <name val="CG Omega (W1)"/>
      <family val="2"/>
    </font>
    <font>
      <b/>
      <sz val="11"/>
      <name val="CG Omega (W1)"/>
      <family val="2"/>
    </font>
    <font>
      <sz val="12"/>
      <color indexed="8"/>
      <name val="CG Omega (W1)"/>
      <family val="2"/>
    </font>
    <font>
      <b/>
      <sz val="12"/>
      <color indexed="18"/>
      <name val="CG Omega (W1)"/>
      <family val="2"/>
    </font>
    <font>
      <b/>
      <sz val="12"/>
      <color indexed="8"/>
      <name val="CG Omega (W1)"/>
      <family val="2"/>
    </font>
    <font>
      <b/>
      <sz val="13"/>
      <color indexed="18"/>
      <name val="CG Omega (W1)"/>
      <family val="2"/>
    </font>
    <font>
      <b/>
      <sz val="13"/>
      <color indexed="20"/>
      <name val="CG Omega (W1)"/>
      <family val="2"/>
    </font>
    <font>
      <b/>
      <sz val="12"/>
      <color indexed="9"/>
      <name val="CG Omega"/>
      <family val="2"/>
    </font>
    <font>
      <sz val="12"/>
      <color indexed="9"/>
      <name val="Helv"/>
      <family val="0"/>
    </font>
    <font>
      <sz val="11"/>
      <name val="CG Omega (W1)"/>
      <family val="2"/>
    </font>
    <font>
      <b/>
      <sz val="15"/>
      <name val="CG Omega (W1)"/>
      <family val="2"/>
    </font>
    <font>
      <b/>
      <sz val="12"/>
      <name val="Helv"/>
      <family val="0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CG Omega (W1)"/>
      <family val="0"/>
    </font>
    <font>
      <sz val="8"/>
      <name val="Helv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15" fillId="33" borderId="10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6" fillId="33" borderId="1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Continuous"/>
      <protection/>
    </xf>
    <xf numFmtId="0" fontId="17" fillId="33" borderId="12" xfId="0" applyFont="1" applyFill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5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3" fontId="14" fillId="33" borderId="20" xfId="0" applyNumberFormat="1" applyFont="1" applyFill="1" applyBorder="1" applyAlignment="1" applyProtection="1">
      <alignment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6" fillId="33" borderId="11" xfId="0" applyNumberFormat="1" applyFont="1" applyFill="1" applyBorder="1" applyAlignment="1" applyProtection="1">
      <alignment/>
      <protection/>
    </xf>
    <xf numFmtId="3" fontId="14" fillId="33" borderId="21" xfId="0" applyNumberFormat="1" applyFont="1" applyFill="1" applyBorder="1" applyAlignment="1" applyProtection="1">
      <alignment/>
      <protection/>
    </xf>
    <xf numFmtId="3" fontId="14" fillId="33" borderId="22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22" xfId="0" applyFont="1" applyBorder="1" applyAlignment="1" applyProtection="1">
      <alignment horizontal="centerContinuous"/>
      <protection/>
    </xf>
    <xf numFmtId="0" fontId="16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3" fontId="11" fillId="33" borderId="0" xfId="0" applyNumberFormat="1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Continuous"/>
      <protection/>
    </xf>
    <xf numFmtId="0" fontId="14" fillId="33" borderId="23" xfId="0" applyFont="1" applyFill="1" applyBorder="1" applyAlignment="1">
      <alignment/>
    </xf>
    <xf numFmtId="3" fontId="14" fillId="33" borderId="24" xfId="0" applyNumberFormat="1" applyFont="1" applyFill="1" applyBorder="1" applyAlignment="1" applyProtection="1">
      <alignment/>
      <protection/>
    </xf>
    <xf numFmtId="3" fontId="14" fillId="33" borderId="25" xfId="0" applyNumberFormat="1" applyFont="1" applyFill="1" applyBorder="1" applyAlignment="1" applyProtection="1">
      <alignment/>
      <protection/>
    </xf>
    <xf numFmtId="3" fontId="14" fillId="33" borderId="11" xfId="0" applyNumberFormat="1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 horizontal="center"/>
      <protection/>
    </xf>
    <xf numFmtId="3" fontId="16" fillId="33" borderId="26" xfId="0" applyNumberFormat="1" applyFont="1" applyFill="1" applyBorder="1" applyAlignment="1" applyProtection="1">
      <alignment/>
      <protection/>
    </xf>
    <xf numFmtId="0" fontId="16" fillId="33" borderId="19" xfId="0" applyFont="1" applyFill="1" applyBorder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3" fontId="11" fillId="33" borderId="24" xfId="0" applyNumberFormat="1" applyFont="1" applyFill="1" applyBorder="1" applyAlignment="1" applyProtection="1">
      <alignment/>
      <protection/>
    </xf>
    <xf numFmtId="3" fontId="12" fillId="33" borderId="11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>
      <alignment horizontal="left" vertical="center"/>
      <protection/>
    </xf>
    <xf numFmtId="3" fontId="24" fillId="33" borderId="0" xfId="0" applyNumberFormat="1" applyFont="1" applyFill="1" applyBorder="1" applyAlignment="1" applyProtection="1">
      <alignment/>
      <protection/>
    </xf>
    <xf numFmtId="3" fontId="29" fillId="33" borderId="0" xfId="0" applyNumberFormat="1" applyFont="1" applyFill="1" applyBorder="1" applyAlignment="1" applyProtection="1">
      <alignment/>
      <protection/>
    </xf>
    <xf numFmtId="3" fontId="30" fillId="33" borderId="0" xfId="0" applyNumberFormat="1" applyFont="1" applyFill="1" applyBorder="1" applyAlignment="1" applyProtection="1">
      <alignment/>
      <protection/>
    </xf>
    <xf numFmtId="0" fontId="30" fillId="33" borderId="18" xfId="0" applyFont="1" applyFill="1" applyBorder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>
      <alignment vertical="center"/>
    </xf>
    <xf numFmtId="3" fontId="31" fillId="33" borderId="0" xfId="0" applyNumberFormat="1" applyFont="1" applyFill="1" applyBorder="1" applyAlignment="1" applyProtection="1">
      <alignment/>
      <protection/>
    </xf>
    <xf numFmtId="0" fontId="31" fillId="0" borderId="0" xfId="0" applyFont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3" fontId="11" fillId="0" borderId="0" xfId="0" applyNumberFormat="1" applyFont="1" applyAlignment="1">
      <alignment/>
    </xf>
    <xf numFmtId="0" fontId="72" fillId="0" borderId="0" xfId="0" applyFont="1" applyFill="1" applyAlignment="1" applyProtection="1">
      <alignment/>
      <protection/>
    </xf>
    <xf numFmtId="189" fontId="4" fillId="0" borderId="0" xfId="0" applyNumberFormat="1" applyFont="1" applyAlignment="1">
      <alignment/>
    </xf>
    <xf numFmtId="0" fontId="33" fillId="0" borderId="0" xfId="0" applyFont="1" applyAlignment="1" applyProtection="1">
      <alignment horizontal="left"/>
      <protection/>
    </xf>
    <xf numFmtId="0" fontId="73" fillId="0" borderId="0" xfId="0" applyFont="1" applyFill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1%2012%2023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23_USD"/>
      <sheetName val="FEB23_USD"/>
      <sheetName val="MAR23_USD"/>
      <sheetName val="ABR23_USD"/>
      <sheetName val="MAY23_USD"/>
      <sheetName val="JUN23_USD"/>
      <sheetName val="JUL23_USD"/>
      <sheetName val="AGO23_USD"/>
      <sheetName val="SEP23_USD"/>
      <sheetName val="OCT23_USD"/>
      <sheetName val="NOV23_USD"/>
      <sheetName val="DIC23_U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40"/>
  <sheetViews>
    <sheetView tabSelected="1" zoomScale="75" zoomScaleNormal="75" zoomScalePageLayoutView="0" workbookViewId="0" topLeftCell="A1">
      <selection activeCell="A5" sqref="A5"/>
    </sheetView>
  </sheetViews>
  <sheetFormatPr defaultColWidth="9.77734375" defaultRowHeight="15.75"/>
  <cols>
    <col min="1" max="1" width="9.77734375" style="0" customWidth="1"/>
    <col min="2" max="6" width="12.21484375" style="0" customWidth="1"/>
    <col min="7" max="7" width="13.3359375" style="0" customWidth="1"/>
    <col min="8" max="8" width="12.21484375" style="0" customWidth="1"/>
    <col min="9" max="9" width="12.77734375" style="0" customWidth="1"/>
    <col min="10" max="10" width="7.3359375" style="0" hidden="1" customWidth="1"/>
  </cols>
  <sheetData>
    <row r="1" ht="15.75">
      <c r="A1" s="2" t="s">
        <v>12</v>
      </c>
    </row>
    <row r="2" ht="15.75">
      <c r="A2" s="72" t="s">
        <v>92</v>
      </c>
    </row>
    <row r="3" ht="15.75">
      <c r="A3" s="3" t="s">
        <v>93</v>
      </c>
    </row>
    <row r="4" spans="1:8" ht="20.25">
      <c r="A4" s="4"/>
      <c r="B4" s="1"/>
      <c r="C4" s="1"/>
      <c r="D4" s="1"/>
      <c r="E4" s="1"/>
      <c r="F4" s="1"/>
      <c r="G4" s="1"/>
      <c r="H4" s="1"/>
    </row>
    <row r="5" spans="1:10" ht="20.2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</row>
    <row r="6" spans="1:10" ht="20.25">
      <c r="A6" s="40" t="s">
        <v>16</v>
      </c>
      <c r="B6" s="6"/>
      <c r="C6" s="6"/>
      <c r="D6" s="6"/>
      <c r="E6" s="6"/>
      <c r="F6" s="6"/>
      <c r="G6" s="6"/>
      <c r="H6" s="6"/>
      <c r="I6" s="6"/>
      <c r="J6" s="6"/>
    </row>
    <row r="7" spans="1:10" ht="18">
      <c r="A7" s="7" t="s">
        <v>111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14"/>
    </row>
    <row r="9" spans="1:10" ht="16.5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/>
      <c r="G9" s="16" t="s">
        <v>4</v>
      </c>
      <c r="H9" s="16"/>
      <c r="I9" s="17"/>
      <c r="J9" s="17"/>
    </row>
    <row r="10" spans="1:10" ht="16.5">
      <c r="A10" s="45" t="s">
        <v>5</v>
      </c>
      <c r="B10" s="18" t="s">
        <v>6</v>
      </c>
      <c r="C10" s="18" t="s">
        <v>7</v>
      </c>
      <c r="D10" s="18" t="s">
        <v>8</v>
      </c>
      <c r="E10" s="18" t="s">
        <v>6</v>
      </c>
      <c r="F10" s="18" t="s">
        <v>11</v>
      </c>
      <c r="G10" s="18" t="s">
        <v>18</v>
      </c>
      <c r="H10" s="18" t="s">
        <v>9</v>
      </c>
      <c r="I10" s="19" t="s">
        <v>10</v>
      </c>
      <c r="J10" s="19" t="s">
        <v>10</v>
      </c>
    </row>
    <row r="11" spans="1:10" ht="9.75" customHeight="1">
      <c r="A11" s="10"/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9.75" customHeight="1">
      <c r="A12" s="10"/>
      <c r="B12" s="20"/>
      <c r="C12" s="21"/>
      <c r="D12" s="21"/>
      <c r="E12" s="21"/>
      <c r="F12" s="21"/>
      <c r="G12" s="21"/>
      <c r="H12" s="41"/>
      <c r="I12" s="12"/>
      <c r="J12" s="12"/>
    </row>
    <row r="13" spans="1:10" ht="15.75">
      <c r="A13" s="34">
        <v>1970</v>
      </c>
      <c r="B13" s="25">
        <v>11</v>
      </c>
      <c r="C13" s="26">
        <v>13</v>
      </c>
      <c r="D13" s="26">
        <v>0</v>
      </c>
      <c r="E13" s="26">
        <v>26</v>
      </c>
      <c r="F13" s="26">
        <v>0</v>
      </c>
      <c r="G13" s="26">
        <v>0</v>
      </c>
      <c r="H13" s="42">
        <v>71</v>
      </c>
      <c r="I13" s="27">
        <f aca="true" t="shared" si="0" ref="I13:I23">SUM(B13:H13)</f>
        <v>121</v>
      </c>
      <c r="J13" s="27">
        <f aca="true" t="shared" si="1" ref="J13:J23">SUM(B13:I13)</f>
        <v>242</v>
      </c>
    </row>
    <row r="14" spans="1:10" ht="6.75" customHeight="1">
      <c r="A14" s="34"/>
      <c r="B14" s="25"/>
      <c r="C14" s="26"/>
      <c r="D14" s="26"/>
      <c r="E14" s="26"/>
      <c r="F14" s="26"/>
      <c r="G14" s="26"/>
      <c r="H14" s="42"/>
      <c r="I14" s="27"/>
      <c r="J14" s="27"/>
    </row>
    <row r="15" spans="1:10" ht="15.75">
      <c r="A15" s="34">
        <v>1971</v>
      </c>
      <c r="B15" s="25">
        <v>12</v>
      </c>
      <c r="C15" s="26">
        <v>30</v>
      </c>
      <c r="D15" s="26">
        <v>0</v>
      </c>
      <c r="E15" s="26">
        <v>26</v>
      </c>
      <c r="F15" s="26">
        <v>0</v>
      </c>
      <c r="G15" s="26">
        <v>0</v>
      </c>
      <c r="H15" s="42">
        <v>88</v>
      </c>
      <c r="I15" s="27">
        <f t="shared" si="0"/>
        <v>156</v>
      </c>
      <c r="J15" s="27">
        <f t="shared" si="1"/>
        <v>312</v>
      </c>
    </row>
    <row r="16" spans="1:10" ht="6.75" customHeight="1">
      <c r="A16" s="34"/>
      <c r="B16" s="25"/>
      <c r="C16" s="26"/>
      <c r="D16" s="26"/>
      <c r="E16" s="26"/>
      <c r="F16" s="26"/>
      <c r="G16" s="26"/>
      <c r="H16" s="42"/>
      <c r="I16" s="27"/>
      <c r="J16" s="27"/>
    </row>
    <row r="17" spans="1:10" ht="15.75">
      <c r="A17" s="34">
        <v>1972</v>
      </c>
      <c r="B17" s="25">
        <v>15</v>
      </c>
      <c r="C17" s="26">
        <v>41</v>
      </c>
      <c r="D17" s="26">
        <v>0</v>
      </c>
      <c r="E17" s="26">
        <v>30</v>
      </c>
      <c r="F17" s="26">
        <v>0</v>
      </c>
      <c r="G17" s="26">
        <v>0</v>
      </c>
      <c r="H17" s="42">
        <v>78</v>
      </c>
      <c r="I17" s="27">
        <f t="shared" si="0"/>
        <v>164</v>
      </c>
      <c r="J17" s="27">
        <f t="shared" si="1"/>
        <v>328</v>
      </c>
    </row>
    <row r="18" spans="1:10" ht="6.75" customHeight="1">
      <c r="A18" s="34"/>
      <c r="B18" s="25"/>
      <c r="C18" s="26"/>
      <c r="D18" s="26"/>
      <c r="E18" s="26"/>
      <c r="F18" s="26"/>
      <c r="G18" s="26"/>
      <c r="H18" s="42"/>
      <c r="I18" s="27"/>
      <c r="J18" s="27"/>
    </row>
    <row r="19" spans="1:10" ht="15.75">
      <c r="A19" s="34">
        <v>1973</v>
      </c>
      <c r="B19" s="25">
        <v>17</v>
      </c>
      <c r="C19" s="26">
        <f>77-1.99</f>
        <v>75.01</v>
      </c>
      <c r="D19" s="26">
        <f>0.19+1.8</f>
        <v>1.99</v>
      </c>
      <c r="E19" s="26">
        <v>153</v>
      </c>
      <c r="F19" s="26">
        <v>0</v>
      </c>
      <c r="G19" s="26">
        <v>1</v>
      </c>
      <c r="H19" s="42">
        <v>104</v>
      </c>
      <c r="I19" s="27">
        <f t="shared" si="0"/>
        <v>352</v>
      </c>
      <c r="J19" s="27">
        <f t="shared" si="1"/>
        <v>704</v>
      </c>
    </row>
    <row r="20" spans="1:10" ht="6.75" customHeight="1">
      <c r="A20" s="34"/>
      <c r="B20" s="25"/>
      <c r="C20" s="26"/>
      <c r="D20" s="26"/>
      <c r="E20" s="26"/>
      <c r="F20" s="26"/>
      <c r="G20" s="26"/>
      <c r="H20" s="42"/>
      <c r="I20" s="27"/>
      <c r="J20" s="27"/>
    </row>
    <row r="21" spans="1:10" ht="15.75">
      <c r="A21" s="34">
        <v>1974</v>
      </c>
      <c r="B21" s="25">
        <v>17</v>
      </c>
      <c r="C21" s="26">
        <f>93-5.578</f>
        <v>87.422</v>
      </c>
      <c r="D21" s="26">
        <f>4.059+1.519</f>
        <v>5.578</v>
      </c>
      <c r="E21" s="26">
        <v>134</v>
      </c>
      <c r="F21" s="26">
        <v>0</v>
      </c>
      <c r="G21" s="26">
        <v>3</v>
      </c>
      <c r="H21" s="42">
        <v>91</v>
      </c>
      <c r="I21" s="27">
        <f t="shared" si="0"/>
        <v>338</v>
      </c>
      <c r="J21" s="27">
        <f t="shared" si="1"/>
        <v>676</v>
      </c>
    </row>
    <row r="22" spans="1:10" ht="6.75" customHeight="1">
      <c r="A22" s="34"/>
      <c r="B22" s="25"/>
      <c r="C22" s="26"/>
      <c r="D22" s="26"/>
      <c r="E22" s="26"/>
      <c r="F22" s="26"/>
      <c r="G22" s="26"/>
      <c r="H22" s="42"/>
      <c r="I22" s="27"/>
      <c r="J22" s="27"/>
    </row>
    <row r="23" spans="1:10" ht="15.75">
      <c r="A23" s="34">
        <v>1975</v>
      </c>
      <c r="B23" s="25">
        <v>18</v>
      </c>
      <c r="C23" s="26">
        <f>106-6.442</f>
        <v>99.55799999999999</v>
      </c>
      <c r="D23" s="26">
        <f>5.143+1.299</f>
        <v>6.442</v>
      </c>
      <c r="E23" s="26">
        <v>41</v>
      </c>
      <c r="F23" s="26">
        <v>0</v>
      </c>
      <c r="G23" s="26">
        <v>18</v>
      </c>
      <c r="H23" s="42">
        <v>101</v>
      </c>
      <c r="I23" s="27">
        <f t="shared" si="0"/>
        <v>284</v>
      </c>
      <c r="J23" s="27">
        <f t="shared" si="1"/>
        <v>568</v>
      </c>
    </row>
    <row r="24" spans="1:10" ht="6.75" customHeight="1">
      <c r="A24" s="34"/>
      <c r="B24" s="25"/>
      <c r="C24" s="26"/>
      <c r="D24" s="26"/>
      <c r="E24" s="26"/>
      <c r="F24" s="26"/>
      <c r="G24" s="26"/>
      <c r="H24" s="42"/>
      <c r="I24" s="27"/>
      <c r="J24" s="27"/>
    </row>
    <row r="25" spans="1:10" ht="15.75">
      <c r="A25" s="34">
        <v>1976</v>
      </c>
      <c r="B25" s="25">
        <v>15</v>
      </c>
      <c r="C25" s="26">
        <f>71-7.092</f>
        <v>63.908</v>
      </c>
      <c r="D25" s="26">
        <f>7.07+0.022</f>
        <v>7.0920000000000005</v>
      </c>
      <c r="E25" s="26">
        <v>57</v>
      </c>
      <c r="F25" s="26">
        <v>0</v>
      </c>
      <c r="G25" s="26">
        <v>21</v>
      </c>
      <c r="H25" s="42">
        <v>118</v>
      </c>
      <c r="I25" s="27">
        <f aca="true" t="shared" si="2" ref="I25:I73">SUM(B25:H25)</f>
        <v>282</v>
      </c>
      <c r="J25" s="27"/>
    </row>
    <row r="26" spans="1:10" ht="6.75" customHeight="1">
      <c r="A26" s="34"/>
      <c r="B26" s="25"/>
      <c r="C26" s="26"/>
      <c r="D26" s="26"/>
      <c r="E26" s="26"/>
      <c r="F26" s="26"/>
      <c r="G26" s="26"/>
      <c r="H26" s="42"/>
      <c r="I26" s="27"/>
      <c r="J26" s="27"/>
    </row>
    <row r="27" spans="1:10" ht="15.75">
      <c r="A27" s="34">
        <v>1977</v>
      </c>
      <c r="B27" s="25">
        <v>16</v>
      </c>
      <c r="C27" s="26">
        <f>54-15.514</f>
        <v>38.486000000000004</v>
      </c>
      <c r="D27" s="26">
        <f>5.626+8.982+0.906</f>
        <v>15.514000000000001</v>
      </c>
      <c r="E27" s="26">
        <v>152</v>
      </c>
      <c r="F27" s="26">
        <v>0</v>
      </c>
      <c r="G27" s="26">
        <v>38</v>
      </c>
      <c r="H27" s="42">
        <v>142</v>
      </c>
      <c r="I27" s="27">
        <f t="shared" si="2"/>
        <v>402</v>
      </c>
      <c r="J27" s="27"/>
    </row>
    <row r="28" spans="1:10" ht="6.75" customHeight="1">
      <c r="A28" s="34"/>
      <c r="B28" s="25"/>
      <c r="C28" s="26"/>
      <c r="D28" s="26"/>
      <c r="E28" s="26"/>
      <c r="F28" s="26"/>
      <c r="G28" s="26"/>
      <c r="H28" s="42"/>
      <c r="I28" s="27"/>
      <c r="J28" s="27"/>
    </row>
    <row r="29" spans="1:10" ht="15.75">
      <c r="A29" s="34">
        <v>1978</v>
      </c>
      <c r="B29" s="25">
        <v>19</v>
      </c>
      <c r="C29" s="26">
        <f>105-22.495</f>
        <v>82.505</v>
      </c>
      <c r="D29" s="26">
        <f>5.829+8.982+7.684</f>
        <v>22.495</v>
      </c>
      <c r="E29" s="26">
        <v>114</v>
      </c>
      <c r="F29" s="26">
        <v>0</v>
      </c>
      <c r="G29" s="26">
        <v>37</v>
      </c>
      <c r="H29" s="42">
        <v>157</v>
      </c>
      <c r="I29" s="27">
        <f t="shared" si="2"/>
        <v>432</v>
      </c>
      <c r="J29" s="27"/>
    </row>
    <row r="30" spans="1:10" ht="6.75" customHeight="1">
      <c r="A30" s="34"/>
      <c r="B30" s="25"/>
      <c r="C30" s="26"/>
      <c r="D30" s="26"/>
      <c r="E30" s="26"/>
      <c r="F30" s="26"/>
      <c r="G30" s="26"/>
      <c r="H30" s="42"/>
      <c r="I30" s="27"/>
      <c r="J30" s="27"/>
    </row>
    <row r="31" spans="1:10" ht="15.75">
      <c r="A31" s="34">
        <v>1979</v>
      </c>
      <c r="B31" s="25">
        <v>23</v>
      </c>
      <c r="C31" s="26">
        <f>124-31.152</f>
        <v>92.848</v>
      </c>
      <c r="D31" s="26">
        <f>6.265+0.294+18.889+5.38+0.324</f>
        <v>31.152</v>
      </c>
      <c r="E31" s="26">
        <v>158</v>
      </c>
      <c r="F31" s="26">
        <v>0</v>
      </c>
      <c r="G31" s="26">
        <v>43</v>
      </c>
      <c r="H31" s="42">
        <v>93</v>
      </c>
      <c r="I31" s="27">
        <f t="shared" si="2"/>
        <v>441</v>
      </c>
      <c r="J31" s="27"/>
    </row>
    <row r="32" spans="1:10" ht="6.75" customHeight="1">
      <c r="A32" s="34"/>
      <c r="B32" s="25"/>
      <c r="C32" s="26"/>
      <c r="D32" s="26"/>
      <c r="E32" s="26"/>
      <c r="F32" s="26"/>
      <c r="G32" s="26"/>
      <c r="H32" s="42"/>
      <c r="I32" s="27"/>
      <c r="J32" s="27"/>
    </row>
    <row r="33" spans="1:11" ht="15.75">
      <c r="A33" s="34">
        <v>1980</v>
      </c>
      <c r="B33" s="25">
        <v>30</v>
      </c>
      <c r="C33" s="26">
        <f>201-44.843</f>
        <v>156.15699999999998</v>
      </c>
      <c r="D33" s="26">
        <f>6.59+0.773+18.351+18.806+0.323</f>
        <v>44.842999999999996</v>
      </c>
      <c r="E33" s="26">
        <v>415.954</v>
      </c>
      <c r="F33" s="26">
        <v>0</v>
      </c>
      <c r="G33" s="26">
        <v>67</v>
      </c>
      <c r="H33" s="42">
        <v>220</v>
      </c>
      <c r="I33" s="27">
        <f t="shared" si="2"/>
        <v>933.954</v>
      </c>
      <c r="J33" s="27"/>
      <c r="K33" s="35"/>
    </row>
    <row r="34" spans="1:11" ht="6.75" customHeight="1">
      <c r="A34" s="34"/>
      <c r="B34" s="25"/>
      <c r="C34" s="26"/>
      <c r="D34" s="26"/>
      <c r="E34" s="26"/>
      <c r="F34" s="26"/>
      <c r="G34" s="26"/>
      <c r="H34" s="42"/>
      <c r="I34" s="27"/>
      <c r="J34" s="27"/>
      <c r="K34" s="35"/>
    </row>
    <row r="35" spans="1:13" ht="15.75">
      <c r="A35" s="34">
        <v>1981</v>
      </c>
      <c r="B35" s="25">
        <v>37.752</v>
      </c>
      <c r="C35" s="26">
        <f>199-39.44</f>
        <v>159.56</v>
      </c>
      <c r="D35" s="26">
        <f>13.937+1.174+17.316+6.69+0.323</f>
        <v>39.44</v>
      </c>
      <c r="E35" s="26">
        <f>770-118</f>
        <v>652</v>
      </c>
      <c r="F35" s="26">
        <v>0</v>
      </c>
      <c r="G35" s="26">
        <v>107</v>
      </c>
      <c r="H35" s="42">
        <v>236</v>
      </c>
      <c r="I35" s="27">
        <f t="shared" si="2"/>
        <v>1231.752</v>
      </c>
      <c r="J35" s="27"/>
      <c r="M35" s="35"/>
    </row>
    <row r="36" spans="1:13" ht="6.75" customHeight="1">
      <c r="A36" s="34"/>
      <c r="B36" s="25"/>
      <c r="C36" s="26"/>
      <c r="D36" s="26"/>
      <c r="E36" s="26"/>
      <c r="F36" s="26"/>
      <c r="G36" s="26"/>
      <c r="H36" s="42"/>
      <c r="I36" s="27"/>
      <c r="J36" s="27"/>
      <c r="M36" s="35"/>
    </row>
    <row r="37" spans="1:11" ht="15.75">
      <c r="A37" s="34">
        <v>1982</v>
      </c>
      <c r="B37" s="25">
        <v>38</v>
      </c>
      <c r="C37" s="26">
        <f>167-32.918</f>
        <v>134.082</v>
      </c>
      <c r="D37" s="37">
        <v>32.918</v>
      </c>
      <c r="E37" s="26">
        <v>341</v>
      </c>
      <c r="F37" s="26">
        <v>0</v>
      </c>
      <c r="G37" s="26">
        <v>70</v>
      </c>
      <c r="H37" s="42">
        <v>329</v>
      </c>
      <c r="I37" s="27">
        <f t="shared" si="2"/>
        <v>945</v>
      </c>
      <c r="J37" s="27"/>
      <c r="K37" s="35"/>
    </row>
    <row r="38" spans="1:11" ht="6.75" customHeight="1">
      <c r="A38" s="34"/>
      <c r="B38" s="25"/>
      <c r="C38" s="26"/>
      <c r="D38" s="37"/>
      <c r="E38" s="26"/>
      <c r="F38" s="26"/>
      <c r="G38" s="26"/>
      <c r="H38" s="42"/>
      <c r="I38" s="27"/>
      <c r="J38" s="27"/>
      <c r="K38" s="35"/>
    </row>
    <row r="39" spans="1:12" ht="15.75">
      <c r="A39" s="34">
        <v>1983</v>
      </c>
      <c r="B39" s="25">
        <v>44</v>
      </c>
      <c r="C39" s="26">
        <f>92-12.521</f>
        <v>79.479</v>
      </c>
      <c r="D39" s="26">
        <v>12.521</v>
      </c>
      <c r="E39" s="26">
        <v>31</v>
      </c>
      <c r="F39" s="26">
        <v>0</v>
      </c>
      <c r="G39" s="26">
        <v>16</v>
      </c>
      <c r="H39" s="42">
        <v>125</v>
      </c>
      <c r="I39" s="27">
        <f t="shared" si="2"/>
        <v>308</v>
      </c>
      <c r="J39" s="27"/>
      <c r="L39" s="35"/>
    </row>
    <row r="40" spans="1:12" ht="6.75" customHeight="1">
      <c r="A40" s="34"/>
      <c r="B40" s="25"/>
      <c r="C40" s="26"/>
      <c r="D40" s="26"/>
      <c r="E40" s="26"/>
      <c r="F40" s="26"/>
      <c r="G40" s="26"/>
      <c r="H40" s="42"/>
      <c r="I40" s="27"/>
      <c r="J40" s="27"/>
      <c r="L40" s="35"/>
    </row>
    <row r="41" spans="1:10" ht="15.75">
      <c r="A41" s="34">
        <v>1984</v>
      </c>
      <c r="B41" s="25">
        <v>69</v>
      </c>
      <c r="C41" s="26">
        <f>97-9</f>
        <v>88</v>
      </c>
      <c r="D41" s="26">
        <v>8.849</v>
      </c>
      <c r="E41" s="26">
        <v>6.809</v>
      </c>
      <c r="F41" s="26">
        <v>0</v>
      </c>
      <c r="G41" s="26">
        <v>48.74</v>
      </c>
      <c r="H41" s="42">
        <v>19</v>
      </c>
      <c r="I41" s="27">
        <f t="shared" si="2"/>
        <v>240.398</v>
      </c>
      <c r="J41" s="27"/>
    </row>
    <row r="42" spans="1:10" ht="6.75" customHeight="1">
      <c r="A42" s="34"/>
      <c r="B42" s="25"/>
      <c r="C42" s="26"/>
      <c r="D42" s="26"/>
      <c r="E42" s="26"/>
      <c r="F42" s="26"/>
      <c r="G42" s="26"/>
      <c r="H42" s="42"/>
      <c r="I42" s="27"/>
      <c r="J42" s="27"/>
    </row>
    <row r="43" spans="1:10" ht="15.75">
      <c r="A43" s="34">
        <v>1985</v>
      </c>
      <c r="B43" s="25">
        <v>82.09900000000002</v>
      </c>
      <c r="C43" s="26">
        <f>104.832-31</f>
        <v>73.832</v>
      </c>
      <c r="D43" s="26">
        <v>30.977602</v>
      </c>
      <c r="E43" s="26">
        <v>8.746</v>
      </c>
      <c r="F43" s="26">
        <v>0</v>
      </c>
      <c r="G43" s="26">
        <v>112.191</v>
      </c>
      <c r="H43" s="42">
        <v>20.93</v>
      </c>
      <c r="I43" s="27">
        <f t="shared" si="2"/>
        <v>328.775602</v>
      </c>
      <c r="J43" s="27"/>
    </row>
    <row r="44" spans="1:10" ht="6.75" customHeight="1">
      <c r="A44" s="34"/>
      <c r="B44" s="25"/>
      <c r="C44" s="26"/>
      <c r="D44" s="26"/>
      <c r="E44" s="26"/>
      <c r="F44" s="26"/>
      <c r="G44" s="26"/>
      <c r="H44" s="42"/>
      <c r="I44" s="27"/>
      <c r="J44" s="27"/>
    </row>
    <row r="45" spans="1:10" ht="15.75">
      <c r="A45" s="34">
        <v>1986</v>
      </c>
      <c r="B45" s="25">
        <v>103.322</v>
      </c>
      <c r="C45" s="26">
        <f>20.252+5.904</f>
        <v>26.156</v>
      </c>
      <c r="D45" s="26">
        <v>48.537</v>
      </c>
      <c r="E45" s="26">
        <v>5</v>
      </c>
      <c r="F45" s="26">
        <v>0</v>
      </c>
      <c r="G45" s="26">
        <v>82</v>
      </c>
      <c r="H45" s="42">
        <v>2.422</v>
      </c>
      <c r="I45" s="27">
        <f t="shared" si="2"/>
        <v>267.437</v>
      </c>
      <c r="J45" s="27"/>
    </row>
    <row r="46" spans="1:10" ht="6.75" customHeight="1">
      <c r="A46" s="34"/>
      <c r="B46" s="25"/>
      <c r="C46" s="26"/>
      <c r="D46" s="26"/>
      <c r="E46" s="26"/>
      <c r="F46" s="26"/>
      <c r="G46" s="26"/>
      <c r="H46" s="42"/>
      <c r="I46" s="27"/>
      <c r="J46" s="27"/>
    </row>
    <row r="47" spans="1:10" ht="15.75">
      <c r="A47" s="34">
        <v>1987</v>
      </c>
      <c r="B47" s="25">
        <v>80</v>
      </c>
      <c r="C47" s="26">
        <f>83.3-58</f>
        <v>25.299999999999997</v>
      </c>
      <c r="D47" s="26">
        <v>58.198831</v>
      </c>
      <c r="E47" s="26">
        <v>3.4</v>
      </c>
      <c r="F47" s="26">
        <v>0</v>
      </c>
      <c r="G47" s="26">
        <v>52.9</v>
      </c>
      <c r="H47" s="42">
        <v>4.5</v>
      </c>
      <c r="I47" s="27">
        <f t="shared" si="2"/>
        <v>224.298831</v>
      </c>
      <c r="J47" s="27"/>
    </row>
    <row r="48" spans="1:10" ht="6.75" customHeight="1">
      <c r="A48" s="34"/>
      <c r="B48" s="25"/>
      <c r="C48" s="26"/>
      <c r="D48" s="26"/>
      <c r="E48" s="26"/>
      <c r="F48" s="26"/>
      <c r="G48" s="26"/>
      <c r="H48" s="42"/>
      <c r="I48" s="27"/>
      <c r="J48" s="27"/>
    </row>
    <row r="49" spans="1:10" ht="15.75">
      <c r="A49" s="34">
        <v>1988</v>
      </c>
      <c r="B49" s="25">
        <v>35.5</v>
      </c>
      <c r="C49" s="26">
        <v>17</v>
      </c>
      <c r="D49" s="26">
        <v>53</v>
      </c>
      <c r="E49" s="26">
        <v>1.5</v>
      </c>
      <c r="F49" s="26">
        <v>0</v>
      </c>
      <c r="G49" s="26">
        <v>35.5</v>
      </c>
      <c r="H49" s="42">
        <v>0.8</v>
      </c>
      <c r="I49" s="27">
        <f t="shared" si="2"/>
        <v>143.3</v>
      </c>
      <c r="J49" s="27"/>
    </row>
    <row r="50" spans="1:10" ht="6.75" customHeight="1">
      <c r="A50" s="34"/>
      <c r="B50" s="25"/>
      <c r="C50" s="26"/>
      <c r="D50" s="26"/>
      <c r="E50" s="26"/>
      <c r="F50" s="26"/>
      <c r="G50" s="26"/>
      <c r="H50" s="42"/>
      <c r="I50" s="27"/>
      <c r="J50" s="27"/>
    </row>
    <row r="51" spans="1:10" ht="15.75">
      <c r="A51" s="34">
        <v>1989</v>
      </c>
      <c r="B51" s="25">
        <v>19</v>
      </c>
      <c r="C51" s="26">
        <v>15</v>
      </c>
      <c r="D51" s="26">
        <v>66.89169</v>
      </c>
      <c r="E51" s="26">
        <v>3</v>
      </c>
      <c r="F51" s="26">
        <v>0</v>
      </c>
      <c r="G51" s="26">
        <v>55</v>
      </c>
      <c r="H51" s="42">
        <v>8</v>
      </c>
      <c r="I51" s="27">
        <f t="shared" si="2"/>
        <v>166.89168999999998</v>
      </c>
      <c r="J51" s="27"/>
    </row>
    <row r="52" spans="1:10" ht="6.75" customHeight="1">
      <c r="A52" s="34"/>
      <c r="B52" s="25"/>
      <c r="C52" s="26"/>
      <c r="D52" s="26"/>
      <c r="E52" s="26"/>
      <c r="F52" s="26"/>
      <c r="G52" s="26"/>
      <c r="H52" s="42"/>
      <c r="I52" s="27"/>
      <c r="J52" s="27"/>
    </row>
    <row r="53" spans="1:10" ht="15.75">
      <c r="A53" s="34">
        <v>1990</v>
      </c>
      <c r="B53" s="25">
        <v>38</v>
      </c>
      <c r="C53" s="26">
        <v>6</v>
      </c>
      <c r="D53" s="26">
        <v>84</v>
      </c>
      <c r="E53" s="26">
        <v>3</v>
      </c>
      <c r="F53" s="26">
        <v>0</v>
      </c>
      <c r="G53" s="26">
        <v>23</v>
      </c>
      <c r="H53" s="42">
        <v>5</v>
      </c>
      <c r="I53" s="27">
        <f t="shared" si="2"/>
        <v>159</v>
      </c>
      <c r="J53" s="27"/>
    </row>
    <row r="54" spans="1:10" ht="6.75" customHeight="1">
      <c r="A54" s="34"/>
      <c r="B54" s="25"/>
      <c r="C54" s="26"/>
      <c r="D54" s="26"/>
      <c r="E54" s="26"/>
      <c r="F54" s="26"/>
      <c r="G54" s="26"/>
      <c r="H54" s="42"/>
      <c r="I54" s="27"/>
      <c r="J54" s="27"/>
    </row>
    <row r="55" spans="1:10" ht="15.75">
      <c r="A55" s="34">
        <v>1991</v>
      </c>
      <c r="B55" s="25">
        <f>144+264</f>
        <v>408</v>
      </c>
      <c r="C55" s="26">
        <v>12</v>
      </c>
      <c r="D55" s="26">
        <v>93</v>
      </c>
      <c r="E55" s="26">
        <v>0</v>
      </c>
      <c r="F55" s="26">
        <v>0</v>
      </c>
      <c r="G55" s="26">
        <v>0</v>
      </c>
      <c r="H55" s="42">
        <v>8</v>
      </c>
      <c r="I55" s="27">
        <f t="shared" si="2"/>
        <v>521</v>
      </c>
      <c r="J55" s="27"/>
    </row>
    <row r="56" spans="1:10" ht="6.75" customHeight="1">
      <c r="A56" s="34"/>
      <c r="B56" s="25"/>
      <c r="C56" s="26"/>
      <c r="D56" s="26"/>
      <c r="E56" s="26"/>
      <c r="F56" s="26"/>
      <c r="G56" s="26"/>
      <c r="H56" s="42"/>
      <c r="I56" s="27"/>
      <c r="J56" s="27"/>
    </row>
    <row r="57" spans="1:10" ht="15.75">
      <c r="A57" s="34">
        <v>1992</v>
      </c>
      <c r="B57" s="25">
        <v>181</v>
      </c>
      <c r="C57" s="26">
        <f>67+22</f>
        <v>89</v>
      </c>
      <c r="D57" s="26">
        <v>90</v>
      </c>
      <c r="E57" s="26">
        <v>5</v>
      </c>
      <c r="F57" s="26">
        <v>0</v>
      </c>
      <c r="G57" s="26">
        <v>3</v>
      </c>
      <c r="H57" s="42">
        <v>9</v>
      </c>
      <c r="I57" s="27">
        <f t="shared" si="2"/>
        <v>377</v>
      </c>
      <c r="J57" s="27"/>
    </row>
    <row r="58" spans="1:10" ht="6.75" customHeight="1">
      <c r="A58" s="34"/>
      <c r="B58" s="25"/>
      <c r="C58" s="26"/>
      <c r="D58" s="26"/>
      <c r="E58" s="26"/>
      <c r="F58" s="26"/>
      <c r="G58" s="26"/>
      <c r="H58" s="42"/>
      <c r="I58" s="27"/>
      <c r="J58" s="27"/>
    </row>
    <row r="59" spans="1:10" ht="15.75">
      <c r="A59" s="34">
        <v>1993</v>
      </c>
      <c r="B59" s="25">
        <f>195+485</f>
        <v>680</v>
      </c>
      <c r="C59" s="26">
        <v>179</v>
      </c>
      <c r="D59" s="26">
        <v>102</v>
      </c>
      <c r="E59" s="26">
        <v>6</v>
      </c>
      <c r="F59" s="26">
        <v>0</v>
      </c>
      <c r="G59" s="26">
        <v>1</v>
      </c>
      <c r="H59" s="42">
        <v>2</v>
      </c>
      <c r="I59" s="27">
        <f t="shared" si="2"/>
        <v>970</v>
      </c>
      <c r="J59" s="27"/>
    </row>
    <row r="60" spans="1:10" ht="6.75" customHeight="1">
      <c r="A60" s="34"/>
      <c r="B60" s="25"/>
      <c r="C60" s="26"/>
      <c r="D60" s="26"/>
      <c r="E60" s="26"/>
      <c r="F60" s="26"/>
      <c r="G60" s="26"/>
      <c r="H60" s="42"/>
      <c r="I60" s="27"/>
      <c r="J60" s="27"/>
    </row>
    <row r="61" spans="1:10" ht="15.75">
      <c r="A61" s="34">
        <v>1994</v>
      </c>
      <c r="B61" s="25">
        <v>189</v>
      </c>
      <c r="C61" s="26">
        <f>211+27</f>
        <v>238</v>
      </c>
      <c r="D61" s="26">
        <v>93</v>
      </c>
      <c r="E61" s="26">
        <f>9+1</f>
        <v>10</v>
      </c>
      <c r="F61" s="26">
        <v>0</v>
      </c>
      <c r="G61" s="26">
        <f>5+31</f>
        <v>36</v>
      </c>
      <c r="H61" s="42">
        <v>0</v>
      </c>
      <c r="I61" s="27">
        <f t="shared" si="2"/>
        <v>566</v>
      </c>
      <c r="J61" s="27"/>
    </row>
    <row r="62" spans="1:10" ht="6.75" customHeight="1">
      <c r="A62" s="34"/>
      <c r="B62" s="25"/>
      <c r="C62" s="26"/>
      <c r="D62" s="26"/>
      <c r="E62" s="26"/>
      <c r="F62" s="26"/>
      <c r="G62" s="26"/>
      <c r="H62" s="42"/>
      <c r="I62" s="27"/>
      <c r="J62" s="27"/>
    </row>
    <row r="63" spans="1:10" ht="15.75">
      <c r="A63" s="34">
        <v>1995</v>
      </c>
      <c r="B63" s="25">
        <v>207</v>
      </c>
      <c r="C63" s="26">
        <f>217+13</f>
        <v>230</v>
      </c>
      <c r="D63" s="26">
        <v>84</v>
      </c>
      <c r="E63" s="26">
        <f>7+4</f>
        <v>11</v>
      </c>
      <c r="F63" s="26">
        <v>0</v>
      </c>
      <c r="G63" s="26">
        <f>14+19+21</f>
        <v>54</v>
      </c>
      <c r="H63" s="42">
        <v>1</v>
      </c>
      <c r="I63" s="27">
        <f t="shared" si="2"/>
        <v>587</v>
      </c>
      <c r="J63" s="27"/>
    </row>
    <row r="64" spans="1:10" ht="6.75" customHeight="1">
      <c r="A64" s="34"/>
      <c r="B64" s="25"/>
      <c r="C64" s="26"/>
      <c r="D64" s="26"/>
      <c r="E64" s="26"/>
      <c r="F64" s="26"/>
      <c r="G64" s="26"/>
      <c r="H64" s="42"/>
      <c r="I64" s="27"/>
      <c r="J64" s="27"/>
    </row>
    <row r="65" spans="1:10" ht="15.75">
      <c r="A65" s="34">
        <v>1996</v>
      </c>
      <c r="B65" s="25">
        <v>200</v>
      </c>
      <c r="C65" s="26">
        <v>345</v>
      </c>
      <c r="D65" s="26">
        <v>77</v>
      </c>
      <c r="E65" s="26">
        <v>4</v>
      </c>
      <c r="F65" s="26">
        <v>0</v>
      </c>
      <c r="G65" s="26">
        <v>22</v>
      </c>
      <c r="H65" s="42">
        <v>20</v>
      </c>
      <c r="I65" s="27">
        <f t="shared" si="2"/>
        <v>668</v>
      </c>
      <c r="J65" s="27"/>
    </row>
    <row r="66" spans="1:10" ht="6.75" customHeight="1">
      <c r="A66" s="34"/>
      <c r="B66" s="25"/>
      <c r="C66" s="26"/>
      <c r="D66" s="26"/>
      <c r="E66" s="26"/>
      <c r="F66" s="26"/>
      <c r="G66" s="26"/>
      <c r="H66" s="42"/>
      <c r="I66" s="27"/>
      <c r="J66" s="27"/>
    </row>
    <row r="67" spans="1:10" ht="15.75">
      <c r="A67" s="34">
        <v>1997</v>
      </c>
      <c r="B67" s="25">
        <v>307.877</v>
      </c>
      <c r="C67" s="26">
        <v>356.701</v>
      </c>
      <c r="D67" s="26">
        <v>77.644</v>
      </c>
      <c r="E67" s="26">
        <f>456+2</f>
        <v>458</v>
      </c>
      <c r="F67" s="26">
        <v>0</v>
      </c>
      <c r="G67" s="26">
        <f>18.812+131</f>
        <v>149.812</v>
      </c>
      <c r="H67" s="42">
        <v>30.664</v>
      </c>
      <c r="I67" s="27">
        <f t="shared" si="2"/>
        <v>1380.698</v>
      </c>
      <c r="J67" s="27"/>
    </row>
    <row r="68" spans="1:10" ht="6.75" customHeight="1">
      <c r="A68" s="34"/>
      <c r="B68" s="25"/>
      <c r="C68" s="26"/>
      <c r="D68" s="26"/>
      <c r="E68" s="26"/>
      <c r="F68" s="26"/>
      <c r="G68" s="26"/>
      <c r="H68" s="42"/>
      <c r="I68" s="27"/>
      <c r="J68" s="27"/>
    </row>
    <row r="69" spans="1:10" ht="15.75">
      <c r="A69" s="34">
        <v>1998</v>
      </c>
      <c r="B69" s="25">
        <v>252.061</v>
      </c>
      <c r="C69" s="26">
        <v>295.718</v>
      </c>
      <c r="D69" s="26">
        <v>66.052</v>
      </c>
      <c r="E69" s="26">
        <v>16.24</v>
      </c>
      <c r="F69" s="26">
        <v>0</v>
      </c>
      <c r="G69" s="26">
        <v>23.845</v>
      </c>
      <c r="H69" s="42">
        <v>28.102</v>
      </c>
      <c r="I69" s="27">
        <f t="shared" si="2"/>
        <v>682.018</v>
      </c>
      <c r="J69" s="27"/>
    </row>
    <row r="70" spans="1:10" ht="6.75" customHeight="1">
      <c r="A70" s="34"/>
      <c r="B70" s="25"/>
      <c r="C70" s="26"/>
      <c r="D70" s="26"/>
      <c r="E70" s="26"/>
      <c r="F70" s="26"/>
      <c r="G70" s="26"/>
      <c r="H70" s="42"/>
      <c r="I70" s="27"/>
      <c r="J70" s="27"/>
    </row>
    <row r="71" spans="1:10" ht="15.75">
      <c r="A71" s="34">
        <v>1999</v>
      </c>
      <c r="B71" s="25">
        <v>272.675</v>
      </c>
      <c r="C71" s="26">
        <v>252.536</v>
      </c>
      <c r="D71" s="26">
        <v>62.522</v>
      </c>
      <c r="E71" s="26">
        <v>49.997</v>
      </c>
      <c r="F71" s="26">
        <v>0</v>
      </c>
      <c r="G71" s="26">
        <v>18.727</v>
      </c>
      <c r="H71" s="42">
        <v>15.802</v>
      </c>
      <c r="I71" s="27">
        <f t="shared" si="2"/>
        <v>672.259</v>
      </c>
      <c r="J71" s="27"/>
    </row>
    <row r="72" spans="1:10" ht="6.75" customHeight="1">
      <c r="A72" s="34"/>
      <c r="B72" s="25"/>
      <c r="C72" s="26"/>
      <c r="D72" s="26"/>
      <c r="E72" s="26"/>
      <c r="F72" s="26"/>
      <c r="G72" s="26"/>
      <c r="H72" s="42"/>
      <c r="I72" s="27"/>
      <c r="J72" s="27"/>
    </row>
    <row r="73" spans="1:10" ht="15.75">
      <c r="A73" s="34">
        <v>2000</v>
      </c>
      <c r="B73" s="25">
        <v>531.313</v>
      </c>
      <c r="C73" s="26">
        <v>337.461446</v>
      </c>
      <c r="D73" s="26">
        <v>36.959</v>
      </c>
      <c r="E73" s="26">
        <v>129.028</v>
      </c>
      <c r="F73" s="26">
        <v>0</v>
      </c>
      <c r="G73" s="26">
        <v>13.544</v>
      </c>
      <c r="H73" s="42">
        <v>14.022202000000002</v>
      </c>
      <c r="I73" s="27">
        <f t="shared" si="2"/>
        <v>1062.3276480000002</v>
      </c>
      <c r="J73" s="27"/>
    </row>
    <row r="74" spans="1:10" ht="6.75" customHeight="1">
      <c r="A74" s="34"/>
      <c r="B74" s="25"/>
      <c r="C74" s="26"/>
      <c r="D74" s="26"/>
      <c r="E74" s="26"/>
      <c r="F74" s="26"/>
      <c r="G74" s="26"/>
      <c r="H74" s="42"/>
      <c r="I74" s="27"/>
      <c r="J74" s="27"/>
    </row>
    <row r="75" spans="1:10" ht="15.75">
      <c r="A75" s="34">
        <v>2001</v>
      </c>
      <c r="B75" s="25">
        <v>334.396</v>
      </c>
      <c r="C75" s="26">
        <v>419.782</v>
      </c>
      <c r="D75" s="26">
        <v>19.565</v>
      </c>
      <c r="E75" s="26">
        <v>82.574</v>
      </c>
      <c r="F75" s="26">
        <v>0</v>
      </c>
      <c r="G75" s="26">
        <v>16.346</v>
      </c>
      <c r="H75" s="42">
        <v>12.407</v>
      </c>
      <c r="I75" s="27">
        <f>SUM(B75:H75)</f>
        <v>885.07</v>
      </c>
      <c r="J75" s="27"/>
    </row>
    <row r="76" spans="1:10" ht="6.75" customHeight="1">
      <c r="A76" s="34"/>
      <c r="B76" s="25"/>
      <c r="C76" s="26"/>
      <c r="D76" s="26"/>
      <c r="E76" s="26"/>
      <c r="F76" s="26"/>
      <c r="G76" s="26"/>
      <c r="H76" s="42"/>
      <c r="I76" s="27"/>
      <c r="J76" s="27"/>
    </row>
    <row r="77" spans="1:10" ht="15.75">
      <c r="A77" s="34">
        <v>2002</v>
      </c>
      <c r="B77" s="25">
        <v>399.174</v>
      </c>
      <c r="C77" s="26">
        <v>458.056</v>
      </c>
      <c r="D77" s="26">
        <v>16.093</v>
      </c>
      <c r="E77" s="26">
        <v>16.13</v>
      </c>
      <c r="F77" s="26">
        <v>22.223</v>
      </c>
      <c r="G77" s="26">
        <v>8.919</v>
      </c>
      <c r="H77" s="42">
        <v>7.741</v>
      </c>
      <c r="I77" s="27">
        <f>SUM(B77:H77)</f>
        <v>928.3359999999999</v>
      </c>
      <c r="J77" s="27"/>
    </row>
    <row r="78" spans="1:10" ht="6.75" customHeight="1">
      <c r="A78" s="34"/>
      <c r="B78" s="25"/>
      <c r="C78" s="26"/>
      <c r="D78" s="26"/>
      <c r="E78" s="26"/>
      <c r="F78" s="26"/>
      <c r="G78" s="26"/>
      <c r="H78" s="42"/>
      <c r="I78" s="27"/>
      <c r="J78" s="27"/>
    </row>
    <row r="79" spans="1:10" ht="15.75">
      <c r="A79" s="34">
        <v>2003</v>
      </c>
      <c r="B79" s="25">
        <v>485.745</v>
      </c>
      <c r="C79" s="26">
        <v>606.845</v>
      </c>
      <c r="D79" s="26">
        <v>12.703</v>
      </c>
      <c r="E79" s="26">
        <v>6.128</v>
      </c>
      <c r="F79" s="26">
        <v>44.446</v>
      </c>
      <c r="G79" s="26">
        <v>9.216</v>
      </c>
      <c r="H79" s="42">
        <v>6.156</v>
      </c>
      <c r="I79" s="27">
        <f>SUM(B79:H79)</f>
        <v>1171.2389999999998</v>
      </c>
      <c r="J79" s="27"/>
    </row>
    <row r="80" spans="1:10" ht="6.75" customHeight="1">
      <c r="A80" s="34"/>
      <c r="B80" s="25"/>
      <c r="C80" s="26"/>
      <c r="D80" s="26"/>
      <c r="E80" s="26"/>
      <c r="F80" s="26"/>
      <c r="G80" s="26"/>
      <c r="H80" s="42"/>
      <c r="I80" s="27"/>
      <c r="J80" s="27"/>
    </row>
    <row r="81" spans="1:10" ht="15.75">
      <c r="A81" s="34">
        <v>2004</v>
      </c>
      <c r="B81" s="25">
        <v>570.874</v>
      </c>
      <c r="C81" s="26">
        <v>697.029</v>
      </c>
      <c r="D81" s="26">
        <v>9.013</v>
      </c>
      <c r="E81" s="26">
        <v>1.267</v>
      </c>
      <c r="F81" s="26">
        <v>66.67</v>
      </c>
      <c r="G81" s="26">
        <v>9.474</v>
      </c>
      <c r="H81" s="42">
        <v>8.576</v>
      </c>
      <c r="I81" s="27">
        <f>SUM(B81:H81)</f>
        <v>1362.903</v>
      </c>
      <c r="J81" s="27"/>
    </row>
    <row r="82" spans="1:10" ht="6.75" customHeight="1">
      <c r="A82" s="34"/>
      <c r="B82" s="25"/>
      <c r="C82" s="26"/>
      <c r="D82" s="26"/>
      <c r="E82" s="26"/>
      <c r="F82" s="26"/>
      <c r="G82" s="26"/>
      <c r="H82" s="42"/>
      <c r="I82" s="27"/>
      <c r="J82" s="27"/>
    </row>
    <row r="83" spans="1:10" ht="15.75">
      <c r="A83" s="34">
        <v>2005</v>
      </c>
      <c r="B83" s="25">
        <v>600.698</v>
      </c>
      <c r="C83" s="26">
        <v>2149.402</v>
      </c>
      <c r="D83" s="26">
        <v>6.653</v>
      </c>
      <c r="E83" s="26">
        <v>3.207</v>
      </c>
      <c r="F83" s="26">
        <v>89.676</v>
      </c>
      <c r="G83" s="26">
        <v>6.8</v>
      </c>
      <c r="H83" s="42">
        <v>764.673</v>
      </c>
      <c r="I83" s="27">
        <f>SUM(B83:H83)</f>
        <v>3621.1089999999995</v>
      </c>
      <c r="J83" s="27"/>
    </row>
    <row r="84" spans="1:10" ht="6.75" customHeight="1">
      <c r="A84" s="34"/>
      <c r="B84" s="25"/>
      <c r="C84" s="26"/>
      <c r="D84" s="26"/>
      <c r="E84" s="26"/>
      <c r="F84" s="26"/>
      <c r="G84" s="26"/>
      <c r="H84" s="42"/>
      <c r="I84" s="27"/>
      <c r="J84" s="27"/>
    </row>
    <row r="85" spans="1:10" ht="15.75">
      <c r="A85" s="34">
        <v>2006</v>
      </c>
      <c r="B85" s="25">
        <v>646.619</v>
      </c>
      <c r="C85" s="26">
        <v>355.917</v>
      </c>
      <c r="D85" s="26">
        <v>7.453</v>
      </c>
      <c r="E85" s="26">
        <v>0</v>
      </c>
      <c r="F85" s="26">
        <v>89.676</v>
      </c>
      <c r="G85" s="26">
        <v>7.183</v>
      </c>
      <c r="H85" s="42">
        <v>91.64</v>
      </c>
      <c r="I85" s="27">
        <f>SUM(B85:H85)</f>
        <v>1198.488</v>
      </c>
      <c r="J85" s="27"/>
    </row>
    <row r="86" spans="1:10" ht="6.75" customHeight="1">
      <c r="A86" s="34"/>
      <c r="B86" s="25"/>
      <c r="C86" s="26"/>
      <c r="D86" s="26"/>
      <c r="E86" s="26"/>
      <c r="F86" s="26"/>
      <c r="G86" s="26"/>
      <c r="H86" s="42"/>
      <c r="I86" s="27"/>
      <c r="J86" s="27"/>
    </row>
    <row r="87" spans="1:10" ht="15.75">
      <c r="A87" s="34">
        <v>2007</v>
      </c>
      <c r="B87" s="25">
        <v>974.3964189399999</v>
      </c>
      <c r="C87" s="26">
        <v>2126.8025267700004</v>
      </c>
      <c r="D87" s="26">
        <v>4.7162225399999995</v>
      </c>
      <c r="E87" s="26">
        <v>0</v>
      </c>
      <c r="F87" s="26">
        <v>2352.1013728699995</v>
      </c>
      <c r="G87" s="26">
        <v>3.92183608</v>
      </c>
      <c r="H87" s="42">
        <v>3.9831115799999997</v>
      </c>
      <c r="I87" s="27">
        <f>SUM(B87:H87)</f>
        <v>5465.921488779999</v>
      </c>
      <c r="J87" s="27"/>
    </row>
    <row r="88" spans="1:10" ht="6.75" customHeight="1">
      <c r="A88" s="34"/>
      <c r="B88" s="25"/>
      <c r="C88" s="26"/>
      <c r="D88" s="26"/>
      <c r="E88" s="26"/>
      <c r="F88" s="26"/>
      <c r="G88" s="26"/>
      <c r="H88" s="42"/>
      <c r="I88" s="27"/>
      <c r="J88" s="27"/>
    </row>
    <row r="89" spans="1:10" ht="15.75">
      <c r="A89" s="34">
        <v>2008</v>
      </c>
      <c r="B89" s="25">
        <v>961.62002662</v>
      </c>
      <c r="C89" s="26">
        <v>270.37664918999997</v>
      </c>
      <c r="D89" s="26">
        <v>4.7162225399999995</v>
      </c>
      <c r="E89" s="26">
        <v>0</v>
      </c>
      <c r="F89" s="26">
        <v>1338.3458799999999</v>
      </c>
      <c r="G89" s="26">
        <v>1.6767968</v>
      </c>
      <c r="H89" s="42">
        <v>3.6764751799999993</v>
      </c>
      <c r="I89" s="27">
        <f>SUM(B89:H89)</f>
        <v>2580.4120503299996</v>
      </c>
      <c r="J89" s="27"/>
    </row>
    <row r="90" spans="1:10" ht="6.75" customHeight="1">
      <c r="A90" s="34"/>
      <c r="B90" s="25"/>
      <c r="C90" s="26"/>
      <c r="D90" s="26"/>
      <c r="E90" s="26"/>
      <c r="F90" s="26"/>
      <c r="G90" s="26"/>
      <c r="H90" s="42"/>
      <c r="I90" s="27"/>
      <c r="J90" s="27"/>
    </row>
    <row r="91" spans="1:10" ht="15.75">
      <c r="A91" s="34">
        <v>2009</v>
      </c>
      <c r="B91" s="25">
        <v>660.48185728</v>
      </c>
      <c r="C91" s="26">
        <v>1176.1492808099997</v>
      </c>
      <c r="D91" s="26">
        <v>4.7162225399999995</v>
      </c>
      <c r="E91" s="26">
        <v>0</v>
      </c>
      <c r="F91" s="26">
        <v>0</v>
      </c>
      <c r="G91" s="26">
        <v>1.6299788</v>
      </c>
      <c r="H91" s="42">
        <v>3.6764751799999993</v>
      </c>
      <c r="I91" s="27">
        <f>SUM(B91:H91)</f>
        <v>1846.6538146099995</v>
      </c>
      <c r="J91" s="27"/>
    </row>
    <row r="92" spans="1:10" ht="6.75" customHeight="1">
      <c r="A92" s="34"/>
      <c r="B92" s="25"/>
      <c r="C92" s="26"/>
      <c r="D92" s="26"/>
      <c r="E92" s="26"/>
      <c r="F92" s="26"/>
      <c r="G92" s="26"/>
      <c r="H92" s="42"/>
      <c r="I92" s="27"/>
      <c r="J92" s="27"/>
    </row>
    <row r="93" spans="1:10" ht="15.75">
      <c r="A93" s="34">
        <v>2010</v>
      </c>
      <c r="B93" s="25">
        <v>1878.46233818</v>
      </c>
      <c r="C93" s="26">
        <v>1103.35770838</v>
      </c>
      <c r="D93" s="26">
        <v>3.224909539999999</v>
      </c>
      <c r="E93" s="26">
        <v>50</v>
      </c>
      <c r="F93" s="26">
        <f>498.62343716+1376.891754</f>
        <v>1875.51519116</v>
      </c>
      <c r="G93" s="26">
        <v>1.6299788</v>
      </c>
      <c r="H93" s="42">
        <v>3.6764751799999993</v>
      </c>
      <c r="I93" s="27">
        <f>SUM(B93:H93)</f>
        <v>4915.866601240001</v>
      </c>
      <c r="J93" s="27"/>
    </row>
    <row r="94" spans="1:10" ht="6.75" customHeight="1">
      <c r="A94" s="34"/>
      <c r="B94" s="25"/>
      <c r="C94" s="26"/>
      <c r="D94" s="26"/>
      <c r="E94" s="26"/>
      <c r="F94" s="26"/>
      <c r="G94" s="26"/>
      <c r="H94" s="42"/>
      <c r="I94" s="27"/>
      <c r="J94" s="27"/>
    </row>
    <row r="95" spans="1:10" ht="15.75">
      <c r="A95" s="34">
        <v>2011</v>
      </c>
      <c r="B95" s="25">
        <v>567.3575825300001</v>
      </c>
      <c r="C95" s="26">
        <v>266.326</v>
      </c>
      <c r="D95" s="26">
        <v>1.61860158</v>
      </c>
      <c r="E95" s="26">
        <v>0</v>
      </c>
      <c r="F95" s="26">
        <v>0</v>
      </c>
      <c r="G95" s="26">
        <v>0</v>
      </c>
      <c r="H95" s="42">
        <v>3.6764751799999993</v>
      </c>
      <c r="I95" s="27">
        <f>SUM(B95:H95)</f>
        <v>838.9786592900001</v>
      </c>
      <c r="J95" s="27"/>
    </row>
    <row r="96" spans="1:10" ht="6.75" customHeight="1">
      <c r="A96" s="34"/>
      <c r="B96" s="25"/>
      <c r="C96" s="26"/>
      <c r="D96" s="26"/>
      <c r="E96" s="26"/>
      <c r="F96" s="26"/>
      <c r="G96" s="26"/>
      <c r="H96" s="42"/>
      <c r="I96" s="27"/>
      <c r="J96" s="27"/>
    </row>
    <row r="97" spans="1:10" ht="15.75">
      <c r="A97" s="34">
        <v>2012</v>
      </c>
      <c r="B97" s="25">
        <v>658.565</v>
      </c>
      <c r="C97" s="26">
        <v>219.924</v>
      </c>
      <c r="D97" s="26">
        <v>1.619</v>
      </c>
      <c r="E97" s="26">
        <v>0</v>
      </c>
      <c r="F97" s="26">
        <v>312.172</v>
      </c>
      <c r="G97" s="26">
        <v>2</v>
      </c>
      <c r="H97" s="42">
        <v>3.676</v>
      </c>
      <c r="I97" s="27">
        <f>SUM(B97:H97)</f>
        <v>1197.9560000000001</v>
      </c>
      <c r="J97" s="27"/>
    </row>
    <row r="98" spans="1:10" ht="6.75" customHeight="1">
      <c r="A98" s="34"/>
      <c r="B98" s="25"/>
      <c r="C98" s="26"/>
      <c r="D98" s="26"/>
      <c r="E98" s="26"/>
      <c r="F98" s="26"/>
      <c r="G98" s="26"/>
      <c r="H98" s="42"/>
      <c r="I98" s="27"/>
      <c r="J98" s="27"/>
    </row>
    <row r="99" spans="1:10" ht="15.75">
      <c r="A99" s="34">
        <v>2013</v>
      </c>
      <c r="B99" s="25">
        <f>609.417+1615.939</f>
        <v>2225.356</v>
      </c>
      <c r="C99" s="26">
        <v>199.467</v>
      </c>
      <c r="D99" s="26">
        <v>1.619</v>
      </c>
      <c r="E99" s="26">
        <v>180</v>
      </c>
      <c r="F99" s="26">
        <v>0</v>
      </c>
      <c r="G99" s="26">
        <v>4</v>
      </c>
      <c r="H99" s="42">
        <v>3.676</v>
      </c>
      <c r="I99" s="27">
        <f>SUM(B99:H99)</f>
        <v>2614.1180000000004</v>
      </c>
      <c r="J99" s="27"/>
    </row>
    <row r="100" spans="1:10" ht="6.75" customHeight="1">
      <c r="A100" s="34"/>
      <c r="B100" s="25"/>
      <c r="C100" s="26"/>
      <c r="D100" s="26"/>
      <c r="E100" s="26"/>
      <c r="F100" s="26"/>
      <c r="G100" s="26"/>
      <c r="H100" s="42"/>
      <c r="I100" s="27"/>
      <c r="J100" s="27"/>
    </row>
    <row r="101" spans="1:10" ht="15.75">
      <c r="A101" s="34">
        <v>2014</v>
      </c>
      <c r="B101" s="25">
        <v>404.159</v>
      </c>
      <c r="C101" s="26">
        <v>205.668</v>
      </c>
      <c r="D101" s="26">
        <v>1.619</v>
      </c>
      <c r="E101" s="26">
        <v>100</v>
      </c>
      <c r="F101" s="26">
        <v>863.371</v>
      </c>
      <c r="G101" s="26">
        <v>4</v>
      </c>
      <c r="H101" s="42">
        <v>3.676</v>
      </c>
      <c r="I101" s="27">
        <f>SUM(B101:H101)</f>
        <v>1582.493</v>
      </c>
      <c r="J101" s="27"/>
    </row>
    <row r="102" spans="1:10" ht="6.75" customHeight="1">
      <c r="A102" s="34"/>
      <c r="B102" s="25"/>
      <c r="C102" s="26"/>
      <c r="D102" s="26"/>
      <c r="E102" s="26"/>
      <c r="F102" s="26"/>
      <c r="G102" s="26"/>
      <c r="H102" s="42"/>
      <c r="I102" s="27"/>
      <c r="J102" s="27"/>
    </row>
    <row r="103" spans="1:10" ht="15.75">
      <c r="A103" s="34">
        <v>2015</v>
      </c>
      <c r="B103" s="25">
        <v>432.075</v>
      </c>
      <c r="C103" s="26">
        <v>174.258</v>
      </c>
      <c r="D103" s="26">
        <v>1.444</v>
      </c>
      <c r="E103" s="26">
        <v>0</v>
      </c>
      <c r="F103" s="26">
        <v>621.197</v>
      </c>
      <c r="G103" s="26">
        <v>0</v>
      </c>
      <c r="H103" s="42">
        <v>3.676</v>
      </c>
      <c r="I103" s="27">
        <f>SUM(B103:H103)</f>
        <v>1232.6499999999999</v>
      </c>
      <c r="J103" s="27"/>
    </row>
    <row r="104" spans="1:10" ht="6.75" customHeight="1">
      <c r="A104" s="34"/>
      <c r="B104" s="25"/>
      <c r="C104" s="26"/>
      <c r="D104" s="26"/>
      <c r="E104" s="26"/>
      <c r="F104" s="26"/>
      <c r="G104" s="26"/>
      <c r="H104" s="42"/>
      <c r="I104" s="27"/>
      <c r="J104" s="27"/>
    </row>
    <row r="105" spans="1:12" ht="15.75">
      <c r="A105" s="34">
        <v>2016</v>
      </c>
      <c r="B105" s="25">
        <v>540.8705249200001</v>
      </c>
      <c r="C105" s="26">
        <v>170.68210141</v>
      </c>
      <c r="D105" s="26">
        <v>0.69216913</v>
      </c>
      <c r="E105" s="26">
        <v>332.02901240999995</v>
      </c>
      <c r="F105" s="26">
        <v>908.6870000000001</v>
      </c>
      <c r="G105" s="26">
        <v>0</v>
      </c>
      <c r="H105" s="42">
        <v>3.6764751799999993</v>
      </c>
      <c r="I105" s="27">
        <f>SUM(B105:H105)</f>
        <v>1956.63728305</v>
      </c>
      <c r="J105" s="27"/>
      <c r="L105" s="35"/>
    </row>
    <row r="106" spans="1:10" ht="6.75" customHeight="1">
      <c r="A106" s="34"/>
      <c r="B106" s="25"/>
      <c r="C106" s="26"/>
      <c r="D106" s="26"/>
      <c r="E106" s="26"/>
      <c r="F106" s="26"/>
      <c r="G106" s="26"/>
      <c r="H106" s="42"/>
      <c r="I106" s="27"/>
      <c r="J106" s="27"/>
    </row>
    <row r="107" spans="1:10" ht="15.75" customHeight="1">
      <c r="A107" s="34">
        <v>2017</v>
      </c>
      <c r="B107" s="25">
        <v>3177.34424834</v>
      </c>
      <c r="C107" s="26">
        <v>584.3729142100001</v>
      </c>
      <c r="D107" s="26">
        <v>0</v>
      </c>
      <c r="E107" s="26">
        <v>739.89580831</v>
      </c>
      <c r="F107" s="26">
        <v>0</v>
      </c>
      <c r="G107" s="26">
        <v>0</v>
      </c>
      <c r="H107" s="42">
        <v>3.44748375</v>
      </c>
      <c r="I107" s="27">
        <f>SUM(B107:H107)</f>
        <v>4505.06045461</v>
      </c>
      <c r="J107" s="27"/>
    </row>
    <row r="108" spans="1:10" ht="6.75" customHeight="1">
      <c r="A108" s="34"/>
      <c r="B108" s="25"/>
      <c r="C108" s="26"/>
      <c r="D108" s="26"/>
      <c r="E108" s="26"/>
      <c r="F108" s="26"/>
      <c r="G108" s="26"/>
      <c r="H108" s="42"/>
      <c r="I108" s="27"/>
      <c r="J108" s="27"/>
    </row>
    <row r="109" spans="1:10" ht="15.75" customHeight="1">
      <c r="A109" s="34">
        <v>2018</v>
      </c>
      <c r="B109" s="25">
        <f>360.46189381+543.37783028</f>
        <v>903.83972409</v>
      </c>
      <c r="C109" s="26">
        <v>136.57454736</v>
      </c>
      <c r="D109" s="26">
        <v>0</v>
      </c>
      <c r="E109" s="26">
        <v>52</v>
      </c>
      <c r="F109" s="26">
        <f>265.53888549+252.8134385</f>
        <v>518.35232399</v>
      </c>
      <c r="G109" s="26">
        <v>0</v>
      </c>
      <c r="H109" s="42">
        <v>3.2184924599999998</v>
      </c>
      <c r="I109" s="27">
        <f>SUM(B109:H109)</f>
        <v>1613.9850879</v>
      </c>
      <c r="J109" s="27"/>
    </row>
    <row r="110" spans="1:10" ht="6.75" customHeight="1">
      <c r="A110" s="34"/>
      <c r="B110" s="25"/>
      <c r="C110" s="26"/>
      <c r="D110" s="26"/>
      <c r="E110" s="26"/>
      <c r="F110" s="26"/>
      <c r="G110" s="26"/>
      <c r="H110" s="42"/>
      <c r="I110" s="27"/>
      <c r="J110" s="27"/>
    </row>
    <row r="111" spans="1:10" ht="15.75" customHeight="1">
      <c r="A111" s="34">
        <v>2019</v>
      </c>
      <c r="B111" s="25">
        <f>466.93437261+82.04317148</f>
        <v>548.97754409</v>
      </c>
      <c r="C111" s="26">
        <v>139.91721998</v>
      </c>
      <c r="D111" s="26">
        <v>0</v>
      </c>
      <c r="E111" s="26">
        <v>0</v>
      </c>
      <c r="F111" s="26">
        <f>949.214+563.84223362</f>
        <v>1513.05623362</v>
      </c>
      <c r="G111" s="26">
        <v>0</v>
      </c>
      <c r="H111" s="42">
        <v>3.2184924599999998</v>
      </c>
      <c r="I111" s="27">
        <f>SUM(B111:H111)</f>
        <v>2205.16949015</v>
      </c>
      <c r="J111" s="27"/>
    </row>
    <row r="112" spans="1:10" ht="6.75" customHeight="1">
      <c r="A112" s="34"/>
      <c r="B112" s="25"/>
      <c r="C112" s="26"/>
      <c r="D112" s="26"/>
      <c r="E112" s="26"/>
      <c r="F112" s="26"/>
      <c r="G112" s="26"/>
      <c r="H112" s="42"/>
      <c r="I112" s="27"/>
      <c r="J112" s="27"/>
    </row>
    <row r="113" spans="1:10" ht="15.75" customHeight="1">
      <c r="A113" s="34">
        <v>2020</v>
      </c>
      <c r="B113" s="25">
        <v>174.11545604000003</v>
      </c>
      <c r="C113" s="26">
        <v>153.91715976</v>
      </c>
      <c r="D113" s="26">
        <v>0</v>
      </c>
      <c r="E113" s="26">
        <v>0</v>
      </c>
      <c r="F113" s="26">
        <v>605.846</v>
      </c>
      <c r="G113" s="26">
        <v>0</v>
      </c>
      <c r="H113" s="42">
        <v>1.6092462299999999</v>
      </c>
      <c r="I113" s="27">
        <f>SUM(B113:H113)</f>
        <v>935.4878620300001</v>
      </c>
      <c r="J113" s="27"/>
    </row>
    <row r="114" spans="1:10" ht="6.75" customHeight="1">
      <c r="A114" s="34"/>
      <c r="B114" s="25"/>
      <c r="C114" s="26"/>
      <c r="D114" s="26"/>
      <c r="E114" s="26"/>
      <c r="F114" s="26"/>
      <c r="G114" s="26"/>
      <c r="H114" s="42"/>
      <c r="I114" s="27"/>
      <c r="J114" s="27"/>
    </row>
    <row r="115" spans="1:10" ht="15.75" customHeight="1">
      <c r="A115" s="34">
        <v>2021</v>
      </c>
      <c r="B115" s="25">
        <v>276.63989143000003</v>
      </c>
      <c r="C115" s="26">
        <v>158.40753884</v>
      </c>
      <c r="D115" s="26">
        <v>0</v>
      </c>
      <c r="E115" s="26">
        <v>0</v>
      </c>
      <c r="F115" s="26">
        <v>0</v>
      </c>
      <c r="G115" s="26">
        <v>0</v>
      </c>
      <c r="H115" s="42">
        <v>0</v>
      </c>
      <c r="I115" s="27">
        <f>SUM(B115:H115)</f>
        <v>435.04743027000006</v>
      </c>
      <c r="J115" s="27"/>
    </row>
    <row r="116" spans="1:10" ht="6.75" customHeight="1">
      <c r="A116" s="34"/>
      <c r="B116" s="25"/>
      <c r="C116" s="26"/>
      <c r="D116" s="26"/>
      <c r="E116" s="26"/>
      <c r="F116" s="26"/>
      <c r="G116" s="26"/>
      <c r="H116" s="42"/>
      <c r="I116" s="27"/>
      <c r="J116" s="27"/>
    </row>
    <row r="117" spans="1:10" ht="15.75" customHeight="1">
      <c r="A117" s="34">
        <v>2022</v>
      </c>
      <c r="B117" s="25">
        <v>749.5417759100001</v>
      </c>
      <c r="C117" s="26">
        <v>165.64764775</v>
      </c>
      <c r="D117" s="26">
        <v>0</v>
      </c>
      <c r="E117" s="26">
        <v>144.44444446</v>
      </c>
      <c r="F117" s="26">
        <v>658.292</v>
      </c>
      <c r="G117" s="26">
        <v>0</v>
      </c>
      <c r="H117" s="42">
        <v>0</v>
      </c>
      <c r="I117" s="27">
        <f>SUM(B117:H117)</f>
        <v>1717.92586812</v>
      </c>
      <c r="J117" s="27"/>
    </row>
    <row r="118" spans="1:10" ht="6.75" customHeight="1">
      <c r="A118" s="34"/>
      <c r="B118" s="25"/>
      <c r="C118" s="26"/>
      <c r="D118" s="26"/>
      <c r="E118" s="26"/>
      <c r="F118" s="26"/>
      <c r="G118" s="26"/>
      <c r="H118" s="42"/>
      <c r="I118" s="27"/>
      <c r="J118" s="27"/>
    </row>
    <row r="119" spans="1:10" ht="15.75" customHeight="1">
      <c r="A119" s="34">
        <v>2023</v>
      </c>
      <c r="B119" s="25">
        <v>799.8521218499999</v>
      </c>
      <c r="C119" s="26">
        <v>158.99739802999997</v>
      </c>
      <c r="D119" s="26">
        <v>0</v>
      </c>
      <c r="E119" s="26">
        <v>144.44444446</v>
      </c>
      <c r="F119" s="26">
        <v>1801.329</v>
      </c>
      <c r="G119" s="26">
        <v>0</v>
      </c>
      <c r="H119" s="42">
        <v>0</v>
      </c>
      <c r="I119" s="27">
        <f>SUM(B119:H119)</f>
        <v>2904.62296434</v>
      </c>
      <c r="J119" s="27"/>
    </row>
    <row r="120" spans="1:10" ht="9.75" customHeight="1">
      <c r="A120" s="13"/>
      <c r="B120" s="28"/>
      <c r="C120" s="29"/>
      <c r="D120" s="29"/>
      <c r="E120" s="29"/>
      <c r="F120" s="29"/>
      <c r="G120" s="29"/>
      <c r="H120" s="43"/>
      <c r="I120" s="46"/>
      <c r="J120" s="27"/>
    </row>
    <row r="121" spans="1:10" ht="9.75" customHeight="1">
      <c r="A121" s="13"/>
      <c r="B121" s="26"/>
      <c r="C121" s="26"/>
      <c r="D121" s="26"/>
      <c r="E121" s="26"/>
      <c r="F121" s="26"/>
      <c r="G121" s="26"/>
      <c r="H121" s="26"/>
      <c r="I121" s="44"/>
      <c r="J121" s="27"/>
    </row>
    <row r="122" spans="1:10" ht="9.75" customHeight="1">
      <c r="A122" s="22"/>
      <c r="B122" s="23"/>
      <c r="C122" s="23"/>
      <c r="D122" s="23"/>
      <c r="E122" s="23"/>
      <c r="F122" s="23"/>
      <c r="G122" s="23"/>
      <c r="H122" s="23"/>
      <c r="I122" s="24"/>
      <c r="J122" s="24"/>
    </row>
    <row r="123" spans="1:9" ht="9.75" customHeight="1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.75">
      <c r="A124" s="62" t="s">
        <v>14</v>
      </c>
      <c r="B124" s="8"/>
      <c r="C124" s="8"/>
      <c r="D124" s="8"/>
      <c r="E124" s="8"/>
      <c r="F124" s="8"/>
      <c r="G124" s="8"/>
      <c r="H124" s="8"/>
      <c r="I124" s="8"/>
    </row>
    <row r="125" spans="1:9" ht="15.75">
      <c r="A125" s="62" t="s">
        <v>15</v>
      </c>
      <c r="B125" s="8"/>
      <c r="C125" s="8"/>
      <c r="D125" s="8"/>
      <c r="E125" s="8"/>
      <c r="F125" s="8"/>
      <c r="G125" s="8"/>
      <c r="H125" s="8"/>
      <c r="I125" s="8"/>
    </row>
    <row r="126" ht="15.75">
      <c r="A126" s="61" t="s">
        <v>19</v>
      </c>
    </row>
    <row r="127" spans="1:11" ht="15.75">
      <c r="A127" s="39"/>
      <c r="B127" s="73"/>
      <c r="C127" s="31"/>
      <c r="D127" s="31"/>
      <c r="E127" s="31"/>
      <c r="F127" s="31"/>
      <c r="G127" s="31"/>
      <c r="H127" s="31"/>
      <c r="I127" s="31"/>
      <c r="J127" s="32"/>
      <c r="K127" s="32"/>
    </row>
    <row r="128" ht="15.75">
      <c r="A128" s="5"/>
    </row>
    <row r="129" ht="15.75">
      <c r="A129" s="5"/>
    </row>
    <row r="130" ht="15.75">
      <c r="A130" s="9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</sheetData>
  <sheetProtection/>
  <printOptions horizontalCentered="1"/>
  <pageMargins left="0.5118110236220472" right="0.5118110236220472" top="0.5905511811023623" bottom="0.5905511811023623" header="0" footer="0.35433070866141736"/>
  <pageSetup fitToHeight="1" fitToWidth="1" horizontalDpi="600" verticalDpi="600" orientation="portrait" paperSize="9" scale="70" r:id="rId1"/>
  <headerFooter alignWithMargins="0">
    <oddFooter>&amp;C&amp;D</oddFooter>
  </headerFooter>
  <ignoredErrors>
    <ignoredError sqref="I13:I17 I49:I85 I87:I89 I91 I93 I95 I97 I99 I101 I103 I105:I107 I109 I111 I113 I115 I117 I1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42"/>
  <sheetViews>
    <sheetView zoomScale="75" zoomScaleNormal="75" zoomScalePageLayoutView="0" workbookViewId="0" topLeftCell="A1">
      <selection activeCell="A5" sqref="A5"/>
    </sheetView>
  </sheetViews>
  <sheetFormatPr defaultColWidth="9.77734375" defaultRowHeight="15.75"/>
  <cols>
    <col min="1" max="1" width="9.77734375" style="0" customWidth="1"/>
    <col min="2" max="6" width="12.21484375" style="0" customWidth="1"/>
    <col min="7" max="7" width="13.3359375" style="0" customWidth="1"/>
    <col min="8" max="8" width="12.21484375" style="0" customWidth="1"/>
    <col min="9" max="9" width="12.77734375" style="0" customWidth="1"/>
    <col min="10" max="10" width="7.3359375" style="0" hidden="1" customWidth="1"/>
  </cols>
  <sheetData>
    <row r="1" ht="15.75">
      <c r="A1" s="2" t="s">
        <v>12</v>
      </c>
    </row>
    <row r="2" ht="15.75">
      <c r="A2" s="72" t="s">
        <v>92</v>
      </c>
    </row>
    <row r="3" ht="15.75">
      <c r="A3" s="3" t="s">
        <v>93</v>
      </c>
    </row>
    <row r="4" spans="1:8" ht="20.25">
      <c r="A4" s="4"/>
      <c r="B4" s="1"/>
      <c r="C4" s="1"/>
      <c r="D4" s="1"/>
      <c r="E4" s="1"/>
      <c r="F4" s="1"/>
      <c r="G4" s="1"/>
      <c r="H4" s="1"/>
    </row>
    <row r="5" spans="1:10" ht="20.2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</row>
    <row r="6" spans="1:10" ht="19.5">
      <c r="A6" s="40" t="s">
        <v>20</v>
      </c>
      <c r="B6" s="7"/>
      <c r="C6" s="7"/>
      <c r="D6" s="7"/>
      <c r="E6" s="7"/>
      <c r="F6" s="7"/>
      <c r="G6" s="7"/>
      <c r="H6" s="7"/>
      <c r="I6" s="7"/>
      <c r="J6" s="7"/>
    </row>
    <row r="7" spans="1:10" ht="18">
      <c r="A7" s="7" t="s">
        <v>111</v>
      </c>
      <c r="B7" s="7"/>
      <c r="C7" s="7"/>
      <c r="D7" s="7"/>
      <c r="E7" s="7"/>
      <c r="F7" s="7"/>
      <c r="G7" s="7"/>
      <c r="H7" s="7"/>
      <c r="I7" s="7"/>
      <c r="J7" s="7"/>
    </row>
    <row r="8" spans="1:10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14"/>
    </row>
    <row r="9" spans="1:10" ht="16.5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/>
      <c r="G9" s="16" t="s">
        <v>4</v>
      </c>
      <c r="H9" s="16"/>
      <c r="I9" s="17"/>
      <c r="J9" s="17"/>
    </row>
    <row r="10" spans="1:10" ht="16.5">
      <c r="A10" s="45" t="s">
        <v>5</v>
      </c>
      <c r="B10" s="18" t="s">
        <v>6</v>
      </c>
      <c r="C10" s="18" t="s">
        <v>7</v>
      </c>
      <c r="D10" s="18" t="s">
        <v>8</v>
      </c>
      <c r="E10" s="18" t="s">
        <v>6</v>
      </c>
      <c r="F10" s="18" t="s">
        <v>11</v>
      </c>
      <c r="G10" s="18" t="s">
        <v>18</v>
      </c>
      <c r="H10" s="18" t="s">
        <v>9</v>
      </c>
      <c r="I10" s="19" t="s">
        <v>10</v>
      </c>
      <c r="J10" s="19" t="s">
        <v>10</v>
      </c>
    </row>
    <row r="11" spans="1:10" ht="9.75" customHeight="1">
      <c r="A11" s="10"/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9.75" customHeight="1">
      <c r="A12" s="10"/>
      <c r="B12" s="20"/>
      <c r="C12" s="21"/>
      <c r="D12" s="21"/>
      <c r="E12" s="21"/>
      <c r="F12" s="21"/>
      <c r="G12" s="21"/>
      <c r="H12" s="41"/>
      <c r="I12" s="12"/>
      <c r="J12" s="12"/>
    </row>
    <row r="13" spans="1:10" ht="15.75">
      <c r="A13" s="34">
        <v>1970</v>
      </c>
      <c r="B13" s="25">
        <v>7</v>
      </c>
      <c r="C13" s="26">
        <v>9</v>
      </c>
      <c r="D13" s="26">
        <v>0</v>
      </c>
      <c r="E13" s="26">
        <v>11</v>
      </c>
      <c r="F13" s="26">
        <v>0</v>
      </c>
      <c r="G13" s="26">
        <v>0</v>
      </c>
      <c r="H13" s="42">
        <v>19</v>
      </c>
      <c r="I13" s="27">
        <f>SUM(B13:H13)</f>
        <v>46</v>
      </c>
      <c r="J13" s="27">
        <f aca="true" t="shared" si="0" ref="J13:J23">SUM(B13:I13)</f>
        <v>92</v>
      </c>
    </row>
    <row r="14" spans="1:10" ht="6.75" customHeight="1">
      <c r="A14" s="34"/>
      <c r="B14" s="25"/>
      <c r="C14" s="26"/>
      <c r="D14" s="26"/>
      <c r="E14" s="26"/>
      <c r="F14" s="26"/>
      <c r="G14" s="26"/>
      <c r="H14" s="42"/>
      <c r="I14" s="27"/>
      <c r="J14" s="27"/>
    </row>
    <row r="15" spans="1:10" ht="15.75">
      <c r="A15" s="34">
        <v>1971</v>
      </c>
      <c r="B15" s="25">
        <v>9</v>
      </c>
      <c r="C15" s="26">
        <v>12</v>
      </c>
      <c r="D15" s="26">
        <v>0</v>
      </c>
      <c r="E15" s="26">
        <v>12</v>
      </c>
      <c r="F15" s="26">
        <v>0</v>
      </c>
      <c r="G15" s="26">
        <v>0</v>
      </c>
      <c r="H15" s="42">
        <v>24</v>
      </c>
      <c r="I15" s="27">
        <f>SUM(B15:H15)</f>
        <v>57</v>
      </c>
      <c r="J15" s="27">
        <f t="shared" si="0"/>
        <v>114</v>
      </c>
    </row>
    <row r="16" spans="1:10" ht="6.75" customHeight="1">
      <c r="A16" s="34"/>
      <c r="B16" s="25"/>
      <c r="C16" s="26"/>
      <c r="D16" s="26"/>
      <c r="E16" s="26"/>
      <c r="F16" s="26"/>
      <c r="G16" s="26"/>
      <c r="H16" s="42"/>
      <c r="I16" s="27"/>
      <c r="J16" s="27"/>
    </row>
    <row r="17" spans="1:10" ht="15.75">
      <c r="A17" s="34">
        <v>1972</v>
      </c>
      <c r="B17" s="25">
        <v>9</v>
      </c>
      <c r="C17" s="26">
        <v>13</v>
      </c>
      <c r="D17" s="26">
        <v>0</v>
      </c>
      <c r="E17" s="26">
        <v>12</v>
      </c>
      <c r="F17" s="26">
        <v>0</v>
      </c>
      <c r="G17" s="26">
        <v>0</v>
      </c>
      <c r="H17" s="42">
        <v>21</v>
      </c>
      <c r="I17" s="27">
        <f>SUM(B17:H17)</f>
        <v>55</v>
      </c>
      <c r="J17" s="27">
        <f t="shared" si="0"/>
        <v>110</v>
      </c>
    </row>
    <row r="18" spans="1:10" ht="6.75" customHeight="1">
      <c r="A18" s="34"/>
      <c r="B18" s="25"/>
      <c r="C18" s="26"/>
      <c r="D18" s="26"/>
      <c r="E18" s="26"/>
      <c r="F18" s="26"/>
      <c r="G18" s="26"/>
      <c r="H18" s="42"/>
      <c r="I18" s="27"/>
      <c r="J18" s="27"/>
    </row>
    <row r="19" spans="1:10" ht="15.75">
      <c r="A19" s="34">
        <v>1973</v>
      </c>
      <c r="B19" s="25">
        <v>10</v>
      </c>
      <c r="C19" s="26">
        <f>18-0.33</f>
        <v>17.67</v>
      </c>
      <c r="D19" s="26">
        <f>0.2+0.13</f>
        <v>0.33</v>
      </c>
      <c r="E19" s="26">
        <v>30</v>
      </c>
      <c r="F19" s="26">
        <v>0</v>
      </c>
      <c r="G19" s="26">
        <v>0</v>
      </c>
      <c r="H19" s="42">
        <v>23</v>
      </c>
      <c r="I19" s="27">
        <f>SUM(B19:H19)</f>
        <v>81</v>
      </c>
      <c r="J19" s="27">
        <f t="shared" si="0"/>
        <v>162</v>
      </c>
    </row>
    <row r="20" spans="1:10" ht="6.75" customHeight="1">
      <c r="A20" s="34"/>
      <c r="B20" s="25"/>
      <c r="C20" s="26"/>
      <c r="D20" s="26"/>
      <c r="E20" s="26"/>
      <c r="F20" s="26"/>
      <c r="G20" s="26"/>
      <c r="H20" s="42"/>
      <c r="I20" s="27"/>
      <c r="J20" s="27"/>
    </row>
    <row r="21" spans="1:10" ht="15.75">
      <c r="A21" s="34">
        <v>1974</v>
      </c>
      <c r="B21" s="25">
        <v>11</v>
      </c>
      <c r="C21" s="26">
        <f>20-1.987</f>
        <v>18.012999999999998</v>
      </c>
      <c r="D21" s="26">
        <f>1.743+0.217+0.027</f>
        <v>1.987</v>
      </c>
      <c r="E21" s="26">
        <v>64</v>
      </c>
      <c r="F21" s="26">
        <v>0</v>
      </c>
      <c r="G21" s="26">
        <v>1</v>
      </c>
      <c r="H21" s="42">
        <v>22</v>
      </c>
      <c r="I21" s="27">
        <f>SUM(B21:H21)</f>
        <v>118</v>
      </c>
      <c r="J21" s="27">
        <f t="shared" si="0"/>
        <v>236</v>
      </c>
    </row>
    <row r="22" spans="1:10" ht="6.75" customHeight="1">
      <c r="A22" s="34"/>
      <c r="B22" s="25"/>
      <c r="C22" s="26"/>
      <c r="D22" s="26"/>
      <c r="E22" s="26"/>
      <c r="F22" s="26"/>
      <c r="G22" s="26"/>
      <c r="H22" s="42"/>
      <c r="I22" s="27"/>
      <c r="J22" s="27"/>
    </row>
    <row r="23" spans="1:10" ht="15.75">
      <c r="A23" s="34">
        <v>1975</v>
      </c>
      <c r="B23" s="25">
        <v>13</v>
      </c>
      <c r="C23" s="26">
        <f>26-1.945</f>
        <v>24.055</v>
      </c>
      <c r="D23" s="26">
        <f>1.469+0.262+0.214</f>
        <v>1.945</v>
      </c>
      <c r="E23" s="26">
        <v>123</v>
      </c>
      <c r="F23" s="26">
        <v>0</v>
      </c>
      <c r="G23" s="26">
        <v>3</v>
      </c>
      <c r="H23" s="42">
        <v>25</v>
      </c>
      <c r="I23" s="27">
        <f>SUM(B23:H23)</f>
        <v>190</v>
      </c>
      <c r="J23" s="27">
        <f t="shared" si="0"/>
        <v>380</v>
      </c>
    </row>
    <row r="24" spans="1:10" ht="6.75" customHeight="1">
      <c r="A24" s="34"/>
      <c r="B24" s="25"/>
      <c r="C24" s="26"/>
      <c r="D24" s="26"/>
      <c r="E24" s="26"/>
      <c r="F24" s="26"/>
      <c r="G24" s="26"/>
      <c r="H24" s="42"/>
      <c r="I24" s="27"/>
      <c r="J24" s="27"/>
    </row>
    <row r="25" spans="1:10" ht="15.75">
      <c r="A25" s="34">
        <v>1976</v>
      </c>
      <c r="B25" s="25">
        <v>13</v>
      </c>
      <c r="C25" s="26">
        <f>33-2.88</f>
        <v>30.12</v>
      </c>
      <c r="D25" s="26">
        <f>2.354+0.012+0.514</f>
        <v>2.88</v>
      </c>
      <c r="E25" s="26">
        <v>122</v>
      </c>
      <c r="F25" s="26">
        <v>0</v>
      </c>
      <c r="G25" s="26">
        <v>9</v>
      </c>
      <c r="H25" s="42">
        <v>26</v>
      </c>
      <c r="I25" s="27">
        <f>SUM(B25:H25)</f>
        <v>203</v>
      </c>
      <c r="J25" s="27"/>
    </row>
    <row r="26" spans="1:10" ht="6.75" customHeight="1">
      <c r="A26" s="34"/>
      <c r="B26" s="25"/>
      <c r="C26" s="26"/>
      <c r="D26" s="26"/>
      <c r="E26" s="26"/>
      <c r="F26" s="26"/>
      <c r="G26" s="26"/>
      <c r="H26" s="42"/>
      <c r="I26" s="27"/>
      <c r="J26" s="27"/>
    </row>
    <row r="27" spans="1:10" ht="15.75">
      <c r="A27" s="34">
        <v>1977</v>
      </c>
      <c r="B27" s="25">
        <v>17</v>
      </c>
      <c r="C27" s="26">
        <f>40-7.565</f>
        <v>32.435</v>
      </c>
      <c r="D27" s="26">
        <f>3.178+1.298+3.089</f>
        <v>7.5649999999999995</v>
      </c>
      <c r="E27" s="26">
        <v>105</v>
      </c>
      <c r="F27" s="26">
        <v>0</v>
      </c>
      <c r="G27" s="26">
        <v>15</v>
      </c>
      <c r="H27" s="42">
        <v>43</v>
      </c>
      <c r="I27" s="27">
        <f>SUM(B27:H27)</f>
        <v>220</v>
      </c>
      <c r="J27" s="27"/>
    </row>
    <row r="28" spans="1:10" ht="6.75" customHeight="1">
      <c r="A28" s="34"/>
      <c r="B28" s="25"/>
      <c r="C28" s="26"/>
      <c r="D28" s="26"/>
      <c r="E28" s="26"/>
      <c r="F28" s="26"/>
      <c r="G28" s="26"/>
      <c r="H28" s="42"/>
      <c r="I28" s="27"/>
      <c r="J28" s="27"/>
    </row>
    <row r="29" spans="1:10" ht="15.75">
      <c r="A29" s="34">
        <v>1978</v>
      </c>
      <c r="B29" s="25">
        <v>22</v>
      </c>
      <c r="C29" s="26">
        <f>57-11.447</f>
        <v>45.553</v>
      </c>
      <c r="D29" s="26">
        <f>2.908+0.55+7.989</f>
        <v>11.447</v>
      </c>
      <c r="E29" s="26">
        <v>107</v>
      </c>
      <c r="F29" s="26">
        <v>0</v>
      </c>
      <c r="G29" s="26">
        <v>23</v>
      </c>
      <c r="H29" s="42">
        <v>61</v>
      </c>
      <c r="I29" s="27">
        <f>SUM(B29:H29)</f>
        <v>270</v>
      </c>
      <c r="J29" s="27"/>
    </row>
    <row r="30" spans="1:10" ht="6.75" customHeight="1">
      <c r="A30" s="34"/>
      <c r="B30" s="25"/>
      <c r="C30" s="26"/>
      <c r="D30" s="26"/>
      <c r="E30" s="26"/>
      <c r="F30" s="26"/>
      <c r="G30" s="26"/>
      <c r="H30" s="42"/>
      <c r="I30" s="27"/>
      <c r="J30" s="27"/>
    </row>
    <row r="31" spans="1:10" ht="15.75">
      <c r="A31" s="34">
        <v>1979</v>
      </c>
      <c r="B31" s="25">
        <v>23</v>
      </c>
      <c r="C31" s="26">
        <f>97-16.003</f>
        <v>80.997</v>
      </c>
      <c r="D31" s="26">
        <f>2.615+0.112+8.651+4.625</f>
        <v>16.003</v>
      </c>
      <c r="E31" s="26">
        <v>153</v>
      </c>
      <c r="F31" s="26">
        <v>0</v>
      </c>
      <c r="G31" s="26">
        <v>27</v>
      </c>
      <c r="H31" s="42">
        <v>84</v>
      </c>
      <c r="I31" s="27">
        <f>SUM(B31:H31)</f>
        <v>384</v>
      </c>
      <c r="J31" s="27"/>
    </row>
    <row r="32" spans="1:10" ht="6.75" customHeight="1">
      <c r="A32" s="34"/>
      <c r="B32" s="25"/>
      <c r="C32" s="26"/>
      <c r="D32" s="26"/>
      <c r="E32" s="26"/>
      <c r="F32" s="26"/>
      <c r="G32" s="26"/>
      <c r="H32" s="42"/>
      <c r="I32" s="27"/>
      <c r="J32" s="27"/>
    </row>
    <row r="33" spans="1:10" ht="15.75">
      <c r="A33" s="34">
        <v>1980</v>
      </c>
      <c r="B33" s="25">
        <v>32</v>
      </c>
      <c r="C33" s="26">
        <f>108-14.085</f>
        <v>93.91499999999999</v>
      </c>
      <c r="D33" s="26">
        <f>2.564+0.641+7.121+3.759</f>
        <v>14.085</v>
      </c>
      <c r="E33" s="26">
        <v>224</v>
      </c>
      <c r="F33" s="26">
        <v>0</v>
      </c>
      <c r="G33" s="26">
        <v>26</v>
      </c>
      <c r="H33" s="42">
        <v>102</v>
      </c>
      <c r="I33" s="27">
        <f>SUM(B33:H33)</f>
        <v>492</v>
      </c>
      <c r="J33" s="27"/>
    </row>
    <row r="34" spans="1:10" ht="6.75" customHeight="1">
      <c r="A34" s="34"/>
      <c r="B34" s="25"/>
      <c r="C34" s="26"/>
      <c r="D34" s="26"/>
      <c r="E34" s="26"/>
      <c r="F34" s="26"/>
      <c r="G34" s="26"/>
      <c r="H34" s="42"/>
      <c r="I34" s="27"/>
      <c r="J34" s="27"/>
    </row>
    <row r="35" spans="1:10" ht="15.75">
      <c r="A35" s="34">
        <v>1981</v>
      </c>
      <c r="B35" s="25">
        <f>48-4</f>
        <v>44</v>
      </c>
      <c r="C35" s="26">
        <f>103-16.82</f>
        <v>86.18</v>
      </c>
      <c r="D35" s="26">
        <f>4.629+4.334+5.145+2.712</f>
        <v>16.82</v>
      </c>
      <c r="E35" s="26">
        <f>267-12</f>
        <v>255</v>
      </c>
      <c r="F35" s="26">
        <v>0</v>
      </c>
      <c r="G35" s="26">
        <v>23</v>
      </c>
      <c r="H35" s="42">
        <v>99</v>
      </c>
      <c r="I35" s="27">
        <f>SUM(B35:H35)</f>
        <v>524</v>
      </c>
      <c r="J35" s="27"/>
    </row>
    <row r="36" spans="1:10" ht="6.75" customHeight="1">
      <c r="A36" s="34"/>
      <c r="B36" s="25"/>
      <c r="C36" s="26"/>
      <c r="D36" s="26"/>
      <c r="E36" s="26"/>
      <c r="F36" s="26"/>
      <c r="G36" s="26"/>
      <c r="H36" s="42"/>
      <c r="I36" s="27"/>
      <c r="J36" s="27"/>
    </row>
    <row r="37" spans="1:10" ht="15.75">
      <c r="A37" s="34">
        <v>1982</v>
      </c>
      <c r="B37" s="25">
        <v>64</v>
      </c>
      <c r="C37" s="26">
        <f>72-18.975</f>
        <v>53.025</v>
      </c>
      <c r="D37" s="37">
        <v>18.975</v>
      </c>
      <c r="E37" s="26">
        <v>263</v>
      </c>
      <c r="F37" s="26">
        <v>0</v>
      </c>
      <c r="G37" s="26">
        <v>14</v>
      </c>
      <c r="H37" s="42">
        <v>138</v>
      </c>
      <c r="I37" s="27">
        <f>SUM(B37:H37)</f>
        <v>551</v>
      </c>
      <c r="J37" s="27"/>
    </row>
    <row r="38" spans="1:10" ht="6.75" customHeight="1">
      <c r="A38" s="34"/>
      <c r="B38" s="25"/>
      <c r="C38" s="26"/>
      <c r="D38" s="37"/>
      <c r="E38" s="26"/>
      <c r="F38" s="26"/>
      <c r="G38" s="26"/>
      <c r="H38" s="42"/>
      <c r="I38" s="27"/>
      <c r="J38" s="27"/>
    </row>
    <row r="39" spans="1:10" ht="15.75">
      <c r="A39" s="34">
        <v>1983</v>
      </c>
      <c r="B39" s="25">
        <v>66</v>
      </c>
      <c r="C39" s="26">
        <f>34-9.559</f>
        <v>24.441000000000003</v>
      </c>
      <c r="D39" s="26">
        <v>9.559</v>
      </c>
      <c r="E39" s="26">
        <v>275</v>
      </c>
      <c r="F39" s="26">
        <v>0</v>
      </c>
      <c r="G39" s="26">
        <v>4</v>
      </c>
      <c r="H39" s="42">
        <v>63</v>
      </c>
      <c r="I39" s="27">
        <f>SUM(B39:H39)</f>
        <v>442</v>
      </c>
      <c r="J39" s="27"/>
    </row>
    <row r="40" spans="1:10" ht="6.75" customHeight="1">
      <c r="A40" s="34"/>
      <c r="B40" s="25"/>
      <c r="C40" s="26"/>
      <c r="D40" s="26"/>
      <c r="E40" s="26"/>
      <c r="F40" s="26"/>
      <c r="G40" s="26"/>
      <c r="H40" s="42"/>
      <c r="I40" s="27"/>
      <c r="J40" s="27"/>
    </row>
    <row r="41" spans="1:10" ht="15.75">
      <c r="A41" s="34">
        <v>1984</v>
      </c>
      <c r="B41" s="25">
        <v>76.624</v>
      </c>
      <c r="C41" s="26">
        <f>57.092-11+0.5</f>
        <v>46.592</v>
      </c>
      <c r="D41" s="26">
        <v>11.219</v>
      </c>
      <c r="E41" s="26">
        <v>190.146</v>
      </c>
      <c r="F41" s="26">
        <v>0</v>
      </c>
      <c r="G41" s="26">
        <v>6.829</v>
      </c>
      <c r="H41" s="42">
        <v>18</v>
      </c>
      <c r="I41" s="27">
        <f>SUM(B41:H41)</f>
        <v>349.41</v>
      </c>
      <c r="J41" s="27"/>
    </row>
    <row r="42" spans="1:10" ht="6.75" customHeight="1">
      <c r="A42" s="34"/>
      <c r="B42" s="25"/>
      <c r="C42" s="26"/>
      <c r="D42" s="26"/>
      <c r="E42" s="26"/>
      <c r="F42" s="26"/>
      <c r="G42" s="26"/>
      <c r="H42" s="42"/>
      <c r="I42" s="27"/>
      <c r="J42" s="27"/>
    </row>
    <row r="43" spans="1:10" ht="15.75">
      <c r="A43" s="34">
        <v>1985</v>
      </c>
      <c r="B43" s="25">
        <v>93.093</v>
      </c>
      <c r="C43" s="26">
        <f>53.71-19</f>
        <v>34.71</v>
      </c>
      <c r="D43" s="26">
        <v>19.051605</v>
      </c>
      <c r="E43" s="26">
        <v>124.253</v>
      </c>
      <c r="F43" s="26">
        <v>0</v>
      </c>
      <c r="G43" s="26">
        <v>37.666000000000004</v>
      </c>
      <c r="H43" s="42">
        <v>21.766</v>
      </c>
      <c r="I43" s="27">
        <f>SUM(B43:H43)</f>
        <v>330.539605</v>
      </c>
      <c r="J43" s="27"/>
    </row>
    <row r="44" spans="1:10" ht="6.75" customHeight="1">
      <c r="A44" s="34"/>
      <c r="B44" s="25"/>
      <c r="C44" s="26"/>
      <c r="D44" s="26"/>
      <c r="E44" s="26"/>
      <c r="F44" s="26"/>
      <c r="G44" s="26"/>
      <c r="H44" s="42"/>
      <c r="I44" s="27"/>
      <c r="J44" s="27"/>
    </row>
    <row r="45" spans="1:10" ht="15.75">
      <c r="A45" s="34">
        <v>1986</v>
      </c>
      <c r="B45" s="25">
        <v>125.837</v>
      </c>
      <c r="C45" s="26">
        <f>17.349+2.61</f>
        <v>19.959</v>
      </c>
      <c r="D45" s="26">
        <v>18.251</v>
      </c>
      <c r="E45" s="26">
        <v>22</v>
      </c>
      <c r="F45" s="26">
        <v>0</v>
      </c>
      <c r="G45" s="26">
        <v>19.851</v>
      </c>
      <c r="H45" s="42">
        <v>5.533</v>
      </c>
      <c r="I45" s="27">
        <f>SUM(B45:H45)</f>
        <v>211.43099999999998</v>
      </c>
      <c r="J45" s="27"/>
    </row>
    <row r="46" spans="1:10" ht="6.75" customHeight="1">
      <c r="A46" s="34"/>
      <c r="B46" s="25"/>
      <c r="C46" s="26"/>
      <c r="D46" s="26"/>
      <c r="E46" s="26"/>
      <c r="F46" s="26"/>
      <c r="G46" s="26"/>
      <c r="H46" s="42"/>
      <c r="I46" s="27"/>
      <c r="J46" s="27"/>
    </row>
    <row r="47" spans="1:10" ht="15.75">
      <c r="A47" s="34">
        <v>1987</v>
      </c>
      <c r="B47" s="25">
        <v>75</v>
      </c>
      <c r="C47" s="26">
        <f>75-27</f>
        <v>48</v>
      </c>
      <c r="D47" s="26">
        <f>27.404871+0.0099</f>
        <v>27.414771</v>
      </c>
      <c r="E47" s="26">
        <v>1.6</v>
      </c>
      <c r="F47" s="26">
        <v>0</v>
      </c>
      <c r="G47" s="26">
        <v>43.6</v>
      </c>
      <c r="H47" s="42">
        <v>7.7</v>
      </c>
      <c r="I47" s="27">
        <f>SUM(B47:H47)</f>
        <v>203.31477099999998</v>
      </c>
      <c r="J47" s="27"/>
    </row>
    <row r="48" spans="1:10" ht="6.75" customHeight="1">
      <c r="A48" s="34"/>
      <c r="B48" s="25"/>
      <c r="C48" s="26"/>
      <c r="D48" s="26"/>
      <c r="E48" s="26"/>
      <c r="F48" s="26"/>
      <c r="G48" s="26"/>
      <c r="H48" s="42"/>
      <c r="I48" s="27"/>
      <c r="J48" s="27"/>
    </row>
    <row r="49" spans="1:10" ht="15.75">
      <c r="A49" s="34">
        <v>1988</v>
      </c>
      <c r="B49" s="25">
        <v>40.9</v>
      </c>
      <c r="C49" s="26">
        <v>25</v>
      </c>
      <c r="D49" s="26">
        <v>28</v>
      </c>
      <c r="E49" s="26">
        <v>1.2</v>
      </c>
      <c r="F49" s="26">
        <v>0</v>
      </c>
      <c r="G49" s="26">
        <v>7.7</v>
      </c>
      <c r="H49" s="42">
        <v>0.2</v>
      </c>
      <c r="I49" s="27">
        <f>SUM(B49:H49)</f>
        <v>103.00000000000001</v>
      </c>
      <c r="J49" s="27"/>
    </row>
    <row r="50" spans="1:10" ht="6.75" customHeight="1">
      <c r="A50" s="34"/>
      <c r="B50" s="25"/>
      <c r="C50" s="26"/>
      <c r="D50" s="26"/>
      <c r="E50" s="26"/>
      <c r="F50" s="26"/>
      <c r="G50" s="26"/>
      <c r="H50" s="42"/>
      <c r="I50" s="27"/>
      <c r="J50" s="27"/>
    </row>
    <row r="51" spans="1:10" ht="15.75">
      <c r="A51" s="34">
        <v>1989</v>
      </c>
      <c r="B51" s="25">
        <v>9</v>
      </c>
      <c r="C51" s="26">
        <v>25</v>
      </c>
      <c r="D51" s="26">
        <f>43.866945+3.414688</f>
        <v>47.281633</v>
      </c>
      <c r="E51" s="26">
        <v>1</v>
      </c>
      <c r="F51" s="26">
        <v>0</v>
      </c>
      <c r="G51" s="26">
        <v>8</v>
      </c>
      <c r="H51" s="42">
        <v>4</v>
      </c>
      <c r="I51" s="27">
        <f>SUM(B51:H51)</f>
        <v>94.281633</v>
      </c>
      <c r="J51" s="27"/>
    </row>
    <row r="52" spans="1:10" ht="6.75" customHeight="1">
      <c r="A52" s="34"/>
      <c r="B52" s="25"/>
      <c r="C52" s="26"/>
      <c r="D52" s="26"/>
      <c r="E52" s="26"/>
      <c r="F52" s="26"/>
      <c r="G52" s="26"/>
      <c r="H52" s="42"/>
      <c r="I52" s="27"/>
      <c r="J52" s="27"/>
    </row>
    <row r="53" spans="1:10" ht="15.75">
      <c r="A53" s="34">
        <v>1990</v>
      </c>
      <c r="B53" s="25">
        <v>22</v>
      </c>
      <c r="C53" s="26">
        <v>6</v>
      </c>
      <c r="D53" s="26">
        <v>45</v>
      </c>
      <c r="E53" s="26">
        <v>1</v>
      </c>
      <c r="F53" s="26">
        <v>0</v>
      </c>
      <c r="G53" s="26">
        <v>19</v>
      </c>
      <c r="H53" s="42">
        <v>7</v>
      </c>
      <c r="I53" s="27">
        <f>SUM(B53:H53)</f>
        <v>100</v>
      </c>
      <c r="J53" s="27"/>
    </row>
    <row r="54" spans="1:10" ht="6.75" customHeight="1">
      <c r="A54" s="34"/>
      <c r="B54" s="25"/>
      <c r="C54" s="26"/>
      <c r="D54" s="26"/>
      <c r="E54" s="26"/>
      <c r="F54" s="26"/>
      <c r="G54" s="26"/>
      <c r="H54" s="42"/>
      <c r="I54" s="27"/>
      <c r="J54" s="27"/>
    </row>
    <row r="55" spans="1:10" ht="15.75">
      <c r="A55" s="34">
        <v>1991</v>
      </c>
      <c r="B55" s="25">
        <f>112+208</f>
        <v>320</v>
      </c>
      <c r="C55" s="26">
        <v>13</v>
      </c>
      <c r="D55" s="26">
        <v>46</v>
      </c>
      <c r="E55" s="26">
        <v>2</v>
      </c>
      <c r="F55" s="26">
        <v>0</v>
      </c>
      <c r="G55" s="26">
        <v>8</v>
      </c>
      <c r="H55" s="42">
        <v>3</v>
      </c>
      <c r="I55" s="27">
        <f>SUM(B55:H55)</f>
        <v>392</v>
      </c>
      <c r="J55" s="27"/>
    </row>
    <row r="56" spans="1:10" ht="6.75" customHeight="1">
      <c r="A56" s="34"/>
      <c r="B56" s="25"/>
      <c r="C56" s="26"/>
      <c r="D56" s="26"/>
      <c r="E56" s="26"/>
      <c r="F56" s="26"/>
      <c r="G56" s="26"/>
      <c r="H56" s="42"/>
      <c r="I56" s="27"/>
      <c r="J56" s="27"/>
    </row>
    <row r="57" spans="1:10" ht="15.75">
      <c r="A57" s="34">
        <v>1992</v>
      </c>
      <c r="B57" s="25">
        <v>191</v>
      </c>
      <c r="C57" s="26">
        <f>47+34</f>
        <v>81</v>
      </c>
      <c r="D57" s="26">
        <v>46</v>
      </c>
      <c r="E57" s="26">
        <v>3</v>
      </c>
      <c r="F57" s="26">
        <v>0</v>
      </c>
      <c r="G57" s="26">
        <v>1</v>
      </c>
      <c r="H57" s="42">
        <v>0</v>
      </c>
      <c r="I57" s="27">
        <f>SUM(B57:H57)</f>
        <v>322</v>
      </c>
      <c r="J57" s="27"/>
    </row>
    <row r="58" spans="1:10" ht="6.75" customHeight="1">
      <c r="A58" s="34"/>
      <c r="B58" s="25"/>
      <c r="C58" s="26"/>
      <c r="D58" s="26"/>
      <c r="E58" s="26"/>
      <c r="F58" s="26"/>
      <c r="G58" s="26"/>
      <c r="H58" s="42"/>
      <c r="I58" s="27"/>
      <c r="J58" s="27"/>
    </row>
    <row r="59" spans="1:10" ht="15.75">
      <c r="A59" s="34">
        <v>1993</v>
      </c>
      <c r="B59" s="25">
        <f>196+382</f>
        <v>578</v>
      </c>
      <c r="C59" s="26">
        <v>149</v>
      </c>
      <c r="D59" s="26">
        <v>49</v>
      </c>
      <c r="E59" s="26">
        <v>5</v>
      </c>
      <c r="F59" s="26">
        <v>0</v>
      </c>
      <c r="G59" s="26">
        <v>1</v>
      </c>
      <c r="H59" s="42">
        <v>0.3</v>
      </c>
      <c r="I59" s="27">
        <f>SUM(B59:H59)</f>
        <v>782.3</v>
      </c>
      <c r="J59" s="27"/>
    </row>
    <row r="60" spans="1:10" ht="6.75" customHeight="1">
      <c r="A60" s="34"/>
      <c r="B60" s="25"/>
      <c r="C60" s="26"/>
      <c r="D60" s="26"/>
      <c r="E60" s="26"/>
      <c r="F60" s="26"/>
      <c r="G60" s="26"/>
      <c r="H60" s="42"/>
      <c r="I60" s="27"/>
      <c r="J60" s="27"/>
    </row>
    <row r="61" spans="1:10" ht="15.75">
      <c r="A61" s="34">
        <v>1994</v>
      </c>
      <c r="B61" s="25">
        <v>225</v>
      </c>
      <c r="C61" s="26">
        <f>106+10</f>
        <v>116</v>
      </c>
      <c r="D61" s="26">
        <v>36</v>
      </c>
      <c r="E61" s="26">
        <v>1</v>
      </c>
      <c r="F61" s="26">
        <v>0</v>
      </c>
      <c r="G61" s="26">
        <v>1</v>
      </c>
      <c r="H61" s="42">
        <v>0</v>
      </c>
      <c r="I61" s="27">
        <f>SUM(B61:H61)</f>
        <v>379</v>
      </c>
      <c r="J61" s="27"/>
    </row>
    <row r="62" spans="1:10" ht="6.75" customHeight="1">
      <c r="A62" s="34"/>
      <c r="B62" s="25"/>
      <c r="C62" s="26"/>
      <c r="D62" s="26"/>
      <c r="E62" s="26"/>
      <c r="F62" s="26"/>
      <c r="G62" s="26"/>
      <c r="H62" s="42"/>
      <c r="I62" s="27"/>
      <c r="J62" s="27"/>
    </row>
    <row r="63" spans="1:10" ht="15.75">
      <c r="A63" s="34">
        <v>1995</v>
      </c>
      <c r="B63" s="25">
        <v>256</v>
      </c>
      <c r="C63" s="26">
        <v>170</v>
      </c>
      <c r="D63" s="26">
        <v>30</v>
      </c>
      <c r="E63" s="26">
        <f>2+21</f>
        <v>23</v>
      </c>
      <c r="F63" s="26">
        <v>0</v>
      </c>
      <c r="G63" s="26">
        <v>6</v>
      </c>
      <c r="H63" s="42">
        <v>3</v>
      </c>
      <c r="I63" s="27">
        <f>SUM(B63:H63)</f>
        <v>488</v>
      </c>
      <c r="J63" s="27"/>
    </row>
    <row r="64" spans="1:10" ht="6.75" customHeight="1">
      <c r="A64" s="34"/>
      <c r="B64" s="25"/>
      <c r="C64" s="26"/>
      <c r="D64" s="26"/>
      <c r="E64" s="26"/>
      <c r="F64" s="26"/>
      <c r="G64" s="26"/>
      <c r="H64" s="42"/>
      <c r="I64" s="27"/>
      <c r="J64" s="27"/>
    </row>
    <row r="65" spans="1:10" ht="15.75">
      <c r="A65" s="34">
        <v>1996</v>
      </c>
      <c r="B65" s="25">
        <v>259</v>
      </c>
      <c r="C65" s="26">
        <v>164</v>
      </c>
      <c r="D65" s="26">
        <v>26</v>
      </c>
      <c r="E65" s="26">
        <v>88</v>
      </c>
      <c r="F65" s="26">
        <v>0</v>
      </c>
      <c r="G65" s="26">
        <v>4</v>
      </c>
      <c r="H65" s="42">
        <v>4</v>
      </c>
      <c r="I65" s="27">
        <f>SUM(B65:H65)</f>
        <v>545</v>
      </c>
      <c r="J65" s="27"/>
    </row>
    <row r="66" spans="1:10" ht="6.75" customHeight="1">
      <c r="A66" s="34"/>
      <c r="B66" s="25"/>
      <c r="C66" s="26"/>
      <c r="D66" s="26"/>
      <c r="E66" s="26"/>
      <c r="F66" s="26"/>
      <c r="G66" s="26"/>
      <c r="H66" s="42"/>
      <c r="I66" s="27"/>
      <c r="J66" s="27"/>
    </row>
    <row r="67" spans="1:10" ht="15.75">
      <c r="A67" s="34">
        <v>1997</v>
      </c>
      <c r="B67" s="25">
        <v>285.8</v>
      </c>
      <c r="C67" s="26">
        <v>187.8</v>
      </c>
      <c r="D67" s="26">
        <v>18.8</v>
      </c>
      <c r="E67" s="26">
        <f>719+2+15</f>
        <v>736</v>
      </c>
      <c r="F67" s="26">
        <v>79.418</v>
      </c>
      <c r="G67" s="26">
        <v>3.9</v>
      </c>
      <c r="H67" s="42">
        <v>12.4</v>
      </c>
      <c r="I67" s="27">
        <f>SUM(B67:H67)</f>
        <v>1324.1180000000004</v>
      </c>
      <c r="J67" s="27"/>
    </row>
    <row r="68" spans="1:10" ht="6.75" customHeight="1">
      <c r="A68" s="34"/>
      <c r="B68" s="25"/>
      <c r="C68" s="26"/>
      <c r="D68" s="26"/>
      <c r="E68" s="26"/>
      <c r="F68" s="26"/>
      <c r="G68" s="26"/>
      <c r="H68" s="42"/>
      <c r="I68" s="27"/>
      <c r="J68" s="27"/>
    </row>
    <row r="69" spans="1:10" ht="15.75">
      <c r="A69" s="34">
        <v>1998</v>
      </c>
      <c r="B69" s="25">
        <v>300.3</v>
      </c>
      <c r="C69" s="26">
        <v>321.2</v>
      </c>
      <c r="D69" s="26">
        <v>13.2</v>
      </c>
      <c r="E69" s="26">
        <v>9.792000000000002</v>
      </c>
      <c r="F69" s="26">
        <v>159.008</v>
      </c>
      <c r="G69" s="26">
        <v>5.8</v>
      </c>
      <c r="H69" s="42">
        <v>28.6</v>
      </c>
      <c r="I69" s="27">
        <f>SUM(B69:H69)</f>
        <v>837.9000000000001</v>
      </c>
      <c r="J69" s="27"/>
    </row>
    <row r="70" spans="1:10" ht="6.75" customHeight="1">
      <c r="A70" s="34"/>
      <c r="B70" s="25"/>
      <c r="C70" s="26"/>
      <c r="D70" s="26"/>
      <c r="E70" s="26"/>
      <c r="F70" s="26"/>
      <c r="G70" s="26"/>
      <c r="H70" s="42"/>
      <c r="I70" s="27"/>
      <c r="J70" s="27"/>
    </row>
    <row r="71" spans="1:10" ht="15.75">
      <c r="A71" s="34">
        <v>1999</v>
      </c>
      <c r="B71" s="25">
        <v>351.121</v>
      </c>
      <c r="C71" s="26">
        <v>458.683</v>
      </c>
      <c r="D71" s="26">
        <v>8.502</v>
      </c>
      <c r="E71" s="26">
        <v>15.225999999999999</v>
      </c>
      <c r="F71" s="26">
        <v>166.842</v>
      </c>
      <c r="G71" s="26">
        <v>6.9695</v>
      </c>
      <c r="H71" s="42">
        <v>48.874</v>
      </c>
      <c r="I71" s="27">
        <f>SUM(B71:H71)</f>
        <v>1056.2175</v>
      </c>
      <c r="J71" s="27"/>
    </row>
    <row r="72" spans="1:10" ht="6.75" customHeight="1">
      <c r="A72" s="34"/>
      <c r="B72" s="25"/>
      <c r="C72" s="26"/>
      <c r="D72" s="26"/>
      <c r="E72" s="26"/>
      <c r="F72" s="26"/>
      <c r="G72" s="26"/>
      <c r="H72" s="42"/>
      <c r="I72" s="27"/>
      <c r="J72" s="27"/>
    </row>
    <row r="73" spans="1:10" ht="15.75">
      <c r="A73" s="34">
        <v>2000</v>
      </c>
      <c r="B73" s="25">
        <v>406.31436099999996</v>
      </c>
      <c r="C73" s="26">
        <v>432.386</v>
      </c>
      <c r="D73" s="26">
        <v>5.791</v>
      </c>
      <c r="E73" s="26">
        <v>53.387</v>
      </c>
      <c r="F73" s="26">
        <v>159.558</v>
      </c>
      <c r="G73" s="26">
        <v>2.318</v>
      </c>
      <c r="H73" s="42">
        <v>52.502</v>
      </c>
      <c r="I73" s="27">
        <f>SUM(B73:H73)</f>
        <v>1112.256361</v>
      </c>
      <c r="J73" s="27"/>
    </row>
    <row r="74" spans="1:10" ht="6.75" customHeight="1">
      <c r="A74" s="34"/>
      <c r="B74" s="25"/>
      <c r="C74" s="26"/>
      <c r="D74" s="26"/>
      <c r="E74" s="26"/>
      <c r="F74" s="26"/>
      <c r="G74" s="26"/>
      <c r="H74" s="42"/>
      <c r="I74" s="27"/>
      <c r="J74" s="27"/>
    </row>
    <row r="75" spans="1:10" ht="15.75">
      <c r="A75" s="34">
        <v>2001</v>
      </c>
      <c r="B75" s="25">
        <v>423.152</v>
      </c>
      <c r="C75" s="26">
        <v>427.301</v>
      </c>
      <c r="D75" s="26">
        <v>4.399</v>
      </c>
      <c r="E75" s="26">
        <v>7.698</v>
      </c>
      <c r="F75" s="26">
        <v>160.497</v>
      </c>
      <c r="G75" s="26">
        <v>2.382</v>
      </c>
      <c r="H75" s="42">
        <v>49.764</v>
      </c>
      <c r="I75" s="27">
        <f>SUM(B75:H75)</f>
        <v>1075.193</v>
      </c>
      <c r="J75" s="27"/>
    </row>
    <row r="76" spans="1:10" ht="6.75" customHeight="1">
      <c r="A76" s="34"/>
      <c r="B76" s="25"/>
      <c r="C76" s="26"/>
      <c r="D76" s="26"/>
      <c r="E76" s="26"/>
      <c r="F76" s="26"/>
      <c r="G76" s="26"/>
      <c r="H76" s="42"/>
      <c r="I76" s="27"/>
      <c r="J76" s="27"/>
    </row>
    <row r="77" spans="1:10" ht="15.75">
      <c r="A77" s="34">
        <v>2002</v>
      </c>
      <c r="B77" s="25">
        <v>379.456</v>
      </c>
      <c r="C77" s="26">
        <v>381.631</v>
      </c>
      <c r="D77" s="26">
        <v>3.111</v>
      </c>
      <c r="E77" s="26">
        <v>1.3739999999999952</v>
      </c>
      <c r="F77" s="26">
        <v>195.619</v>
      </c>
      <c r="G77" s="26">
        <v>1.489</v>
      </c>
      <c r="H77" s="42">
        <v>47.253</v>
      </c>
      <c r="I77" s="27">
        <f>SUM(B77:H77)</f>
        <v>1009.9330000000001</v>
      </c>
      <c r="J77" s="27"/>
    </row>
    <row r="78" spans="1:10" ht="6.75" customHeight="1">
      <c r="A78" s="34"/>
      <c r="B78" s="25"/>
      <c r="C78" s="26"/>
      <c r="D78" s="26"/>
      <c r="E78" s="26"/>
      <c r="F78" s="26"/>
      <c r="G78" s="26"/>
      <c r="H78" s="42"/>
      <c r="I78" s="27"/>
      <c r="J78" s="27"/>
    </row>
    <row r="79" spans="1:10" ht="15.75">
      <c r="A79" s="34">
        <v>2003</v>
      </c>
      <c r="B79" s="25">
        <v>345.599</v>
      </c>
      <c r="C79" s="26">
        <v>376.648</v>
      </c>
      <c r="D79" s="26">
        <v>2.466</v>
      </c>
      <c r="E79" s="26">
        <v>0.504</v>
      </c>
      <c r="F79" s="26">
        <v>306.505</v>
      </c>
      <c r="G79" s="26">
        <v>1.137</v>
      </c>
      <c r="H79" s="42">
        <v>51.138</v>
      </c>
      <c r="I79" s="27">
        <f>SUM(B79:H79)</f>
        <v>1083.997</v>
      </c>
      <c r="J79" s="27"/>
    </row>
    <row r="80" spans="1:10" ht="6.75" customHeight="1">
      <c r="A80" s="34"/>
      <c r="B80" s="25"/>
      <c r="C80" s="26"/>
      <c r="D80" s="26"/>
      <c r="E80" s="26"/>
      <c r="F80" s="26"/>
      <c r="G80" s="26"/>
      <c r="H80" s="42"/>
      <c r="I80" s="27"/>
      <c r="J80" s="27"/>
    </row>
    <row r="81" spans="1:10" ht="15.75">
      <c r="A81" s="34">
        <v>2004</v>
      </c>
      <c r="B81" s="25">
        <v>303.785</v>
      </c>
      <c r="C81" s="26">
        <v>378.754</v>
      </c>
      <c r="D81" s="26">
        <v>2.018</v>
      </c>
      <c r="E81" s="26">
        <v>0.393</v>
      </c>
      <c r="F81" s="26">
        <v>428.343</v>
      </c>
      <c r="G81" s="26">
        <v>0.786</v>
      </c>
      <c r="H81" s="42">
        <v>52.391</v>
      </c>
      <c r="I81" s="27">
        <f>SUM(B81:H81)</f>
        <v>1166.4700000000003</v>
      </c>
      <c r="J81" s="27"/>
    </row>
    <row r="82" spans="1:10" ht="6.75" customHeight="1">
      <c r="A82" s="34"/>
      <c r="B82" s="25"/>
      <c r="C82" s="26"/>
      <c r="D82" s="26"/>
      <c r="E82" s="26"/>
      <c r="F82" s="26"/>
      <c r="G82" s="26"/>
      <c r="H82" s="42"/>
      <c r="I82" s="27"/>
      <c r="J82" s="27"/>
    </row>
    <row r="83" spans="1:10" ht="15.75">
      <c r="A83" s="34">
        <v>2005</v>
      </c>
      <c r="B83" s="25">
        <v>357.942</v>
      </c>
      <c r="C83" s="26">
        <v>318.061</v>
      </c>
      <c r="D83" s="26">
        <v>1.618</v>
      </c>
      <c r="E83" s="26">
        <v>0.241</v>
      </c>
      <c r="F83" s="26">
        <v>553.432</v>
      </c>
      <c r="G83" s="26">
        <v>0.477</v>
      </c>
      <c r="H83" s="42">
        <v>57.138</v>
      </c>
      <c r="I83" s="27">
        <f>SUM(B83:H83)</f>
        <v>1288.9089999999999</v>
      </c>
      <c r="J83" s="27"/>
    </row>
    <row r="84" spans="1:10" ht="6.75" customHeight="1">
      <c r="A84" s="34"/>
      <c r="B84" s="25"/>
      <c r="C84" s="26"/>
      <c r="D84" s="26"/>
      <c r="E84" s="26"/>
      <c r="F84" s="26"/>
      <c r="G84" s="26"/>
      <c r="H84" s="42"/>
      <c r="I84" s="27"/>
      <c r="J84" s="27"/>
    </row>
    <row r="85" spans="1:10" ht="15.75">
      <c r="A85" s="34">
        <v>2006</v>
      </c>
      <c r="B85" s="25">
        <v>437.056</v>
      </c>
      <c r="C85" s="26">
        <v>247.445</v>
      </c>
      <c r="D85" s="26">
        <v>2.424</v>
      </c>
      <c r="E85" s="26">
        <v>0</v>
      </c>
      <c r="F85" s="26">
        <v>645.114</v>
      </c>
      <c r="G85" s="26">
        <v>0.303</v>
      </c>
      <c r="H85" s="42">
        <v>5.554</v>
      </c>
      <c r="I85" s="27">
        <f>SUM(B85:H85)</f>
        <v>1337.8960000000002</v>
      </c>
      <c r="J85" s="27"/>
    </row>
    <row r="86" spans="1:10" ht="6.75" customHeight="1">
      <c r="A86" s="34"/>
      <c r="B86" s="25"/>
      <c r="C86" s="26"/>
      <c r="D86" s="26"/>
      <c r="E86" s="26"/>
      <c r="F86" s="26"/>
      <c r="G86" s="26"/>
      <c r="H86" s="42"/>
      <c r="I86" s="27"/>
      <c r="J86" s="27"/>
    </row>
    <row r="87" spans="1:10" ht="15.75">
      <c r="A87" s="34">
        <v>2007</v>
      </c>
      <c r="B87" s="25">
        <v>479.29569288999994</v>
      </c>
      <c r="C87" s="26">
        <v>229.32253670999998</v>
      </c>
      <c r="D87" s="26">
        <v>1.64850746</v>
      </c>
      <c r="E87" s="26">
        <v>0</v>
      </c>
      <c r="F87" s="26">
        <v>697.4667625</v>
      </c>
      <c r="G87" s="26">
        <v>0.12971513999999998</v>
      </c>
      <c r="H87" s="42">
        <v>2.50607802</v>
      </c>
      <c r="I87" s="27">
        <f>SUM(B87:H87)</f>
        <v>1410.3692927199997</v>
      </c>
      <c r="J87" s="27"/>
    </row>
    <row r="88" spans="1:10" ht="6.75" customHeight="1">
      <c r="A88" s="34"/>
      <c r="B88" s="25"/>
      <c r="C88" s="26"/>
      <c r="D88" s="26"/>
      <c r="E88" s="26"/>
      <c r="F88" s="26"/>
      <c r="G88" s="26"/>
      <c r="H88" s="42"/>
      <c r="I88" s="27"/>
      <c r="J88" s="27"/>
    </row>
    <row r="89" spans="1:10" ht="15.75">
      <c r="A89" s="34">
        <v>2008</v>
      </c>
      <c r="B89" s="25">
        <v>404.5268043500001</v>
      </c>
      <c r="C89" s="26">
        <v>145.80238511</v>
      </c>
      <c r="D89" s="26">
        <v>1.13804912</v>
      </c>
      <c r="E89" s="26">
        <v>3.66522413</v>
      </c>
      <c r="F89" s="26">
        <v>598.3953220299999</v>
      </c>
      <c r="G89" s="26">
        <v>0</v>
      </c>
      <c r="H89" s="42">
        <v>2.2328347799999997</v>
      </c>
      <c r="I89" s="27">
        <f>SUM(B89:H89)</f>
        <v>1155.7606195199999</v>
      </c>
      <c r="J89" s="27"/>
    </row>
    <row r="90" spans="1:10" ht="6.75" customHeight="1">
      <c r="A90" s="34"/>
      <c r="B90" s="25"/>
      <c r="C90" s="26"/>
      <c r="D90" s="26"/>
      <c r="E90" s="26"/>
      <c r="F90" s="26"/>
      <c r="G90" s="26"/>
      <c r="H90" s="42"/>
      <c r="I90" s="27"/>
      <c r="J90" s="27"/>
    </row>
    <row r="91" spans="1:10" ht="15.75">
      <c r="A91" s="34">
        <v>2009</v>
      </c>
      <c r="B91" s="25">
        <v>311.75176838000004</v>
      </c>
      <c r="C91" s="26">
        <v>124.65297591000001</v>
      </c>
      <c r="D91" s="26">
        <v>0.55580065</v>
      </c>
      <c r="E91" s="26">
        <v>5.76627656</v>
      </c>
      <c r="F91" s="26">
        <v>630.7041708300001</v>
      </c>
      <c r="G91" s="26">
        <v>0</v>
      </c>
      <c r="H91" s="42">
        <v>1.98278395</v>
      </c>
      <c r="I91" s="27">
        <f>SUM(B91:H91)</f>
        <v>1075.4137762800003</v>
      </c>
      <c r="J91" s="27"/>
    </row>
    <row r="92" spans="1:10" ht="6.75" customHeight="1">
      <c r="A92" s="34"/>
      <c r="B92" s="25"/>
      <c r="C92" s="26"/>
      <c r="D92" s="26"/>
      <c r="E92" s="26"/>
      <c r="F92" s="26"/>
      <c r="G92" s="26"/>
      <c r="H92" s="42"/>
      <c r="I92" s="27"/>
      <c r="J92" s="27"/>
    </row>
    <row r="93" spans="1:10" ht="15.75">
      <c r="A93" s="34">
        <v>2010</v>
      </c>
      <c r="B93" s="25">
        <v>250.37835807000005</v>
      </c>
      <c r="C93" s="26">
        <v>79.26895543</v>
      </c>
      <c r="D93" s="26">
        <v>0.22434141999999999</v>
      </c>
      <c r="E93" s="26">
        <v>3.41240519</v>
      </c>
      <c r="F93" s="26">
        <v>744.65772087</v>
      </c>
      <c r="G93" s="26">
        <v>0.18862369</v>
      </c>
      <c r="H93" s="42">
        <v>1.74338974</v>
      </c>
      <c r="I93" s="27">
        <f>SUM(B93:H93)</f>
        <v>1079.8737944100003</v>
      </c>
      <c r="J93" s="27"/>
    </row>
    <row r="94" spans="1:10" ht="6.75" customHeight="1">
      <c r="A94" s="34"/>
      <c r="B94" s="25"/>
      <c r="C94" s="26"/>
      <c r="D94" s="26"/>
      <c r="E94" s="26"/>
      <c r="F94" s="26"/>
      <c r="G94" s="26"/>
      <c r="H94" s="42"/>
      <c r="I94" s="27"/>
      <c r="J94" s="27"/>
    </row>
    <row r="95" spans="1:10" ht="15.75">
      <c r="A95" s="34">
        <v>2011</v>
      </c>
      <c r="B95" s="25">
        <v>214.13218771000004</v>
      </c>
      <c r="C95" s="26">
        <v>63.297</v>
      </c>
      <c r="D95" s="26">
        <v>0.12617044</v>
      </c>
      <c r="E95" s="26">
        <v>3.05682104</v>
      </c>
      <c r="F95" s="26">
        <v>705.8697983000001</v>
      </c>
      <c r="G95" s="26">
        <v>0.37443923</v>
      </c>
      <c r="H95" s="42">
        <v>1.56640977</v>
      </c>
      <c r="I95" s="27">
        <f>SUM(B95:H95)</f>
        <v>988.4228264900001</v>
      </c>
      <c r="J95" s="27"/>
    </row>
    <row r="96" spans="1:10" ht="6.75" customHeight="1">
      <c r="A96" s="34"/>
      <c r="B96" s="25"/>
      <c r="C96" s="26"/>
      <c r="D96" s="26"/>
      <c r="E96" s="26"/>
      <c r="F96" s="26"/>
      <c r="G96" s="26"/>
      <c r="H96" s="42"/>
      <c r="I96" s="27"/>
      <c r="J96" s="27"/>
    </row>
    <row r="97" spans="1:11" ht="15.75">
      <c r="A97" s="34">
        <v>2012</v>
      </c>
      <c r="B97" s="25">
        <v>210.144</v>
      </c>
      <c r="C97" s="26">
        <v>60.179</v>
      </c>
      <c r="D97" s="26">
        <v>0.12</v>
      </c>
      <c r="E97" s="26">
        <v>8.138</v>
      </c>
      <c r="F97" s="26">
        <v>717.088</v>
      </c>
      <c r="G97" s="26">
        <v>0.399</v>
      </c>
      <c r="H97" s="42">
        <v>1.399</v>
      </c>
      <c r="I97" s="27">
        <f>SUM(B97:H97)</f>
        <v>997.4669999999999</v>
      </c>
      <c r="J97" s="27"/>
      <c r="K97" s="35"/>
    </row>
    <row r="98" spans="1:10" ht="6.75" customHeight="1">
      <c r="A98" s="34"/>
      <c r="B98" s="25"/>
      <c r="C98" s="26"/>
      <c r="D98" s="26"/>
      <c r="E98" s="26"/>
      <c r="F98" s="26"/>
      <c r="G98" s="26"/>
      <c r="H98" s="42"/>
      <c r="I98" s="27"/>
      <c r="J98" s="27"/>
    </row>
    <row r="99" spans="1:11" ht="15.75">
      <c r="A99" s="34">
        <v>2013</v>
      </c>
      <c r="B99" s="25">
        <v>307.023</v>
      </c>
      <c r="C99" s="26">
        <v>48.676</v>
      </c>
      <c r="D99" s="26">
        <v>0.075</v>
      </c>
      <c r="E99" s="26">
        <v>10.517</v>
      </c>
      <c r="F99" s="26">
        <v>737.296</v>
      </c>
      <c r="G99" s="26">
        <v>0.269</v>
      </c>
      <c r="H99" s="42">
        <v>1.221</v>
      </c>
      <c r="I99" s="27">
        <f>SUM(B99:H99)</f>
        <v>1105.077</v>
      </c>
      <c r="J99" s="27"/>
      <c r="K99" s="35"/>
    </row>
    <row r="100" spans="1:11" ht="6.75" customHeight="1">
      <c r="A100" s="34"/>
      <c r="B100" s="25"/>
      <c r="C100" s="26"/>
      <c r="D100" s="26"/>
      <c r="E100" s="26"/>
      <c r="F100" s="26"/>
      <c r="G100" s="26"/>
      <c r="H100" s="42"/>
      <c r="I100" s="27"/>
      <c r="J100" s="27"/>
      <c r="K100" s="35"/>
    </row>
    <row r="101" spans="1:11" ht="15.75">
      <c r="A101" s="34">
        <v>2014</v>
      </c>
      <c r="B101" s="25">
        <v>100.026</v>
      </c>
      <c r="C101" s="26">
        <v>43.656</v>
      </c>
      <c r="D101" s="26">
        <v>0.044</v>
      </c>
      <c r="E101" s="26">
        <v>22.796</v>
      </c>
      <c r="F101" s="26">
        <v>895.43</v>
      </c>
      <c r="G101" s="26">
        <v>0.076</v>
      </c>
      <c r="H101" s="42">
        <v>1.046</v>
      </c>
      <c r="I101" s="27">
        <f>SUM(B101:H101)</f>
        <v>1063.074</v>
      </c>
      <c r="J101" s="27"/>
      <c r="K101" s="35"/>
    </row>
    <row r="102" spans="1:11" ht="6.75" customHeight="1">
      <c r="A102" s="34"/>
      <c r="B102" s="25"/>
      <c r="C102" s="26"/>
      <c r="D102" s="26"/>
      <c r="E102" s="26"/>
      <c r="F102" s="26"/>
      <c r="G102" s="26"/>
      <c r="H102" s="42"/>
      <c r="I102" s="27"/>
      <c r="J102" s="27"/>
      <c r="K102" s="35"/>
    </row>
    <row r="103" spans="1:11" ht="15.75">
      <c r="A103" s="34">
        <v>2015</v>
      </c>
      <c r="B103" s="25">
        <v>101.842</v>
      </c>
      <c r="C103" s="26">
        <v>35.722</v>
      </c>
      <c r="D103" s="26">
        <v>0.021</v>
      </c>
      <c r="E103" s="26">
        <v>33.311</v>
      </c>
      <c r="F103" s="26">
        <v>752.287</v>
      </c>
      <c r="G103" s="26">
        <v>0</v>
      </c>
      <c r="H103" s="42">
        <v>0.874</v>
      </c>
      <c r="I103" s="27">
        <f>SUM(B103:H103)</f>
        <v>924.057</v>
      </c>
      <c r="J103" s="27"/>
      <c r="K103" s="35"/>
    </row>
    <row r="104" spans="1:11" ht="6.75" customHeight="1">
      <c r="A104" s="34"/>
      <c r="B104" s="25"/>
      <c r="C104" s="26"/>
      <c r="D104" s="26"/>
      <c r="E104" s="26"/>
      <c r="F104" s="26"/>
      <c r="G104" s="26"/>
      <c r="H104" s="42"/>
      <c r="I104" s="27"/>
      <c r="J104" s="27"/>
      <c r="K104" s="35"/>
    </row>
    <row r="105" spans="1:11" ht="15.75">
      <c r="A105" s="34">
        <v>2016</v>
      </c>
      <c r="B105" s="25">
        <v>152.40202599</v>
      </c>
      <c r="C105" s="26">
        <v>32.95793428</v>
      </c>
      <c r="D105" s="26">
        <v>0.005479899999999999</v>
      </c>
      <c r="E105" s="26">
        <v>34.68338206000001</v>
      </c>
      <c r="F105" s="26">
        <v>808.7016463599999</v>
      </c>
      <c r="G105" s="26">
        <v>0</v>
      </c>
      <c r="H105" s="42">
        <v>0.70313816</v>
      </c>
      <c r="I105" s="27">
        <f>SUM(B105:H105)</f>
        <v>1029.4536067499998</v>
      </c>
      <c r="J105" s="27"/>
      <c r="K105" s="35"/>
    </row>
    <row r="106" spans="1:11" ht="6.75" customHeight="1">
      <c r="A106" s="34"/>
      <c r="B106" s="25"/>
      <c r="C106" s="26"/>
      <c r="D106" s="26"/>
      <c r="E106" s="26"/>
      <c r="F106" s="26"/>
      <c r="G106" s="26"/>
      <c r="H106" s="42"/>
      <c r="I106" s="27"/>
      <c r="J106" s="27"/>
      <c r="K106" s="35"/>
    </row>
    <row r="107" spans="1:11" ht="15.75">
      <c r="A107" s="34">
        <v>2017</v>
      </c>
      <c r="B107" s="25">
        <v>187.90526186999998</v>
      </c>
      <c r="C107" s="26">
        <v>29.601812589999994</v>
      </c>
      <c r="D107" s="26">
        <v>0</v>
      </c>
      <c r="E107" s="26">
        <v>17.19715977</v>
      </c>
      <c r="F107" s="26">
        <v>885.4487018299999</v>
      </c>
      <c r="G107" s="26">
        <v>0</v>
      </c>
      <c r="H107" s="42">
        <v>0.5295181899999999</v>
      </c>
      <c r="I107" s="27">
        <f>SUM(B107:H107)</f>
        <v>1120.6824542499999</v>
      </c>
      <c r="J107" s="27"/>
      <c r="K107" s="35"/>
    </row>
    <row r="108" spans="1:11" ht="6.75" customHeight="1">
      <c r="A108" s="34"/>
      <c r="B108" s="25"/>
      <c r="C108" s="26"/>
      <c r="D108" s="26"/>
      <c r="E108" s="26"/>
      <c r="F108" s="26"/>
      <c r="G108" s="26"/>
      <c r="H108" s="42"/>
      <c r="I108" s="27"/>
      <c r="J108" s="27"/>
      <c r="K108" s="35"/>
    </row>
    <row r="109" spans="1:11" ht="15.75">
      <c r="A109" s="34">
        <v>2018</v>
      </c>
      <c r="B109" s="25">
        <v>153.16577891999998</v>
      </c>
      <c r="C109" s="26">
        <v>21.62850511</v>
      </c>
      <c r="D109" s="26">
        <v>0</v>
      </c>
      <c r="E109" s="26">
        <v>6.36473333</v>
      </c>
      <c r="F109" s="26">
        <v>968.43061464</v>
      </c>
      <c r="G109" s="26">
        <v>0</v>
      </c>
      <c r="H109" s="42">
        <v>0.36402314</v>
      </c>
      <c r="I109" s="27">
        <f>SUM(B109:H109)</f>
        <v>1149.95365514</v>
      </c>
      <c r="J109" s="27"/>
      <c r="K109" s="35"/>
    </row>
    <row r="110" spans="1:11" ht="6.75" customHeight="1">
      <c r="A110" s="34"/>
      <c r="B110" s="25"/>
      <c r="C110" s="26"/>
      <c r="D110" s="26"/>
      <c r="E110" s="26"/>
      <c r="F110" s="26"/>
      <c r="G110" s="26"/>
      <c r="H110" s="42"/>
      <c r="I110" s="27"/>
      <c r="J110" s="27"/>
      <c r="K110" s="35"/>
    </row>
    <row r="111" spans="1:11" ht="15.75">
      <c r="A111" s="34">
        <v>2019</v>
      </c>
      <c r="B111" s="25">
        <v>161.57648556</v>
      </c>
      <c r="C111" s="26">
        <v>20.997161319999996</v>
      </c>
      <c r="D111" s="26">
        <v>0</v>
      </c>
      <c r="E111" s="26">
        <v>45.58150968999999</v>
      </c>
      <c r="F111" s="26">
        <v>938.2149828700001</v>
      </c>
      <c r="G111" s="26">
        <v>0</v>
      </c>
      <c r="H111" s="42">
        <v>0.20223508</v>
      </c>
      <c r="I111" s="27">
        <f>SUM(B111:H111)</f>
        <v>1166.57237452</v>
      </c>
      <c r="J111" s="27"/>
      <c r="K111" s="35"/>
    </row>
    <row r="112" spans="1:11" ht="6.75" customHeight="1">
      <c r="A112" s="34"/>
      <c r="B112" s="25"/>
      <c r="C112" s="26"/>
      <c r="D112" s="26"/>
      <c r="E112" s="26"/>
      <c r="F112" s="26"/>
      <c r="G112" s="26"/>
      <c r="H112" s="42"/>
      <c r="I112" s="27"/>
      <c r="J112" s="27"/>
      <c r="K112" s="35"/>
    </row>
    <row r="113" spans="1:11" ht="15.75">
      <c r="A113" s="34">
        <v>2020</v>
      </c>
      <c r="B113" s="25">
        <v>117.84997027000001</v>
      </c>
      <c r="C113" s="26">
        <v>22.48316377</v>
      </c>
      <c r="D113" s="26">
        <v>0</v>
      </c>
      <c r="E113" s="26">
        <v>50.48779098</v>
      </c>
      <c r="F113" s="26">
        <v>955.26355517</v>
      </c>
      <c r="G113" s="26">
        <v>0</v>
      </c>
      <c r="H113" s="42">
        <v>0.04044701999999999</v>
      </c>
      <c r="I113" s="27">
        <f>SUM(B113:H113)</f>
        <v>1146.1249272100001</v>
      </c>
      <c r="J113" s="27"/>
      <c r="K113" s="35"/>
    </row>
    <row r="114" spans="1:11" ht="6.75" customHeight="1">
      <c r="A114" s="34"/>
      <c r="B114" s="25"/>
      <c r="C114" s="26"/>
      <c r="D114" s="26"/>
      <c r="E114" s="26"/>
      <c r="F114" s="26"/>
      <c r="G114" s="26"/>
      <c r="H114" s="42"/>
      <c r="I114" s="27"/>
      <c r="J114" s="27"/>
      <c r="K114" s="35"/>
    </row>
    <row r="115" spans="1:11" ht="15.75">
      <c r="A115" s="34">
        <v>2021</v>
      </c>
      <c r="B115" s="25">
        <v>99.31410088999999</v>
      </c>
      <c r="C115" s="26">
        <v>20.759680559999996</v>
      </c>
      <c r="D115" s="26">
        <v>0</v>
      </c>
      <c r="E115" s="26">
        <v>46.148947189999994</v>
      </c>
      <c r="F115" s="26">
        <v>1168.49519752</v>
      </c>
      <c r="G115" s="26">
        <v>0</v>
      </c>
      <c r="H115" s="42">
        <v>0</v>
      </c>
      <c r="I115" s="27">
        <f>SUM(B115:H115)</f>
        <v>1334.71792616</v>
      </c>
      <c r="J115" s="27"/>
      <c r="K115" s="35"/>
    </row>
    <row r="116" spans="1:11" ht="6.75" customHeight="1">
      <c r="A116" s="34"/>
      <c r="B116" s="25"/>
      <c r="C116" s="26"/>
      <c r="D116" s="26"/>
      <c r="E116" s="26"/>
      <c r="F116" s="26"/>
      <c r="G116" s="26"/>
      <c r="H116" s="42"/>
      <c r="I116" s="27"/>
      <c r="J116" s="27"/>
      <c r="K116" s="35"/>
    </row>
    <row r="117" spans="1:11" ht="15.75">
      <c r="A117" s="34">
        <v>2022</v>
      </c>
      <c r="B117" s="25">
        <v>189.14303820000003</v>
      </c>
      <c r="C117" s="26">
        <v>22.67771354</v>
      </c>
      <c r="D117" s="26">
        <v>0</v>
      </c>
      <c r="E117" s="26">
        <v>44.72499474</v>
      </c>
      <c r="F117" s="26">
        <v>1373.7299274699997</v>
      </c>
      <c r="G117" s="26">
        <v>0</v>
      </c>
      <c r="H117" s="42">
        <v>0</v>
      </c>
      <c r="I117" s="27">
        <f>SUM(B117:H117)</f>
        <v>1630.2756739499996</v>
      </c>
      <c r="J117" s="27"/>
      <c r="K117" s="35"/>
    </row>
    <row r="118" spans="1:11" ht="6.75" customHeight="1">
      <c r="A118" s="34"/>
      <c r="B118" s="25"/>
      <c r="C118" s="26"/>
      <c r="D118" s="26"/>
      <c r="E118" s="26"/>
      <c r="F118" s="26"/>
      <c r="G118" s="26"/>
      <c r="H118" s="42"/>
      <c r="I118" s="27"/>
      <c r="J118" s="27"/>
      <c r="K118" s="35"/>
    </row>
    <row r="119" spans="1:12" ht="15.75">
      <c r="A119" s="34">
        <v>2023</v>
      </c>
      <c r="B119" s="25">
        <v>599.32748547</v>
      </c>
      <c r="C119" s="26">
        <v>56.1484176</v>
      </c>
      <c r="D119" s="26">
        <v>0</v>
      </c>
      <c r="E119" s="26">
        <v>58.99804246000001</v>
      </c>
      <c r="F119" s="26">
        <v>1388.4799061100002</v>
      </c>
      <c r="G119" s="26">
        <v>0</v>
      </c>
      <c r="H119" s="42">
        <v>0</v>
      </c>
      <c r="I119" s="27">
        <f>SUM(B119:H119)</f>
        <v>2102.9538516400003</v>
      </c>
      <c r="J119" s="27"/>
      <c r="K119" s="35"/>
      <c r="L119" s="35"/>
    </row>
    <row r="120" spans="1:10" ht="9.75" customHeight="1">
      <c r="A120" s="13"/>
      <c r="B120" s="28"/>
      <c r="C120" s="29"/>
      <c r="D120" s="29"/>
      <c r="E120" s="29"/>
      <c r="F120" s="29"/>
      <c r="G120" s="29"/>
      <c r="H120" s="43"/>
      <c r="I120" s="27"/>
      <c r="J120" s="27"/>
    </row>
    <row r="121" spans="1:10" ht="9.75" customHeight="1">
      <c r="A121" s="13"/>
      <c r="B121" s="26"/>
      <c r="C121" s="26"/>
      <c r="D121" s="26"/>
      <c r="E121" s="26"/>
      <c r="F121" s="26"/>
      <c r="G121" s="26"/>
      <c r="H121" s="26"/>
      <c r="I121" s="27"/>
      <c r="J121" s="27"/>
    </row>
    <row r="122" spans="1:10" ht="9.75" customHeight="1">
      <c r="A122" s="22"/>
      <c r="B122" s="23"/>
      <c r="C122" s="23"/>
      <c r="D122" s="23"/>
      <c r="E122" s="23"/>
      <c r="F122" s="23"/>
      <c r="G122" s="23"/>
      <c r="H122" s="23"/>
      <c r="I122" s="47"/>
      <c r="J122" s="24"/>
    </row>
    <row r="123" spans="1:9" ht="9.75" customHeight="1">
      <c r="A123" s="8"/>
      <c r="B123" s="8"/>
      <c r="C123" s="8"/>
      <c r="D123" s="8"/>
      <c r="E123" s="8"/>
      <c r="F123" s="8"/>
      <c r="G123" s="8"/>
      <c r="H123" s="8"/>
      <c r="I123" s="48"/>
    </row>
    <row r="124" spans="1:9" ht="15.75">
      <c r="A124" s="62" t="s">
        <v>14</v>
      </c>
      <c r="B124" s="8"/>
      <c r="C124" s="8"/>
      <c r="D124" s="8"/>
      <c r="E124" s="8"/>
      <c r="F124" s="8"/>
      <c r="G124" s="8"/>
      <c r="H124" s="8"/>
      <c r="I124" s="71"/>
    </row>
    <row r="125" spans="1:9" ht="15.75">
      <c r="A125" s="62" t="s">
        <v>15</v>
      </c>
      <c r="B125" s="8"/>
      <c r="C125" s="8"/>
      <c r="D125" s="8"/>
      <c r="E125" s="8"/>
      <c r="I125" s="49"/>
    </row>
    <row r="126" ht="15.75">
      <c r="A126" s="61" t="s">
        <v>19</v>
      </c>
    </row>
    <row r="127" spans="1:5" ht="15.75">
      <c r="A127" s="39"/>
      <c r="B127" s="31"/>
      <c r="C127" s="31"/>
      <c r="D127" s="31"/>
      <c r="E127" s="31"/>
    </row>
    <row r="128" ht="15.75">
      <c r="A128" s="9"/>
    </row>
    <row r="129" spans="1:11" ht="15.75">
      <c r="A129" s="30"/>
      <c r="B129" s="31"/>
      <c r="C129" s="31"/>
      <c r="D129" s="31"/>
      <c r="E129" s="31"/>
      <c r="F129" s="31"/>
      <c r="G129" s="31"/>
      <c r="H129" s="31"/>
      <c r="I129" s="31"/>
      <c r="J129" s="32"/>
      <c r="K129" s="32"/>
    </row>
    <row r="130" ht="15.75">
      <c r="A130" s="5"/>
    </row>
    <row r="131" ht="15.75">
      <c r="A131" s="5"/>
    </row>
    <row r="132" ht="15.75">
      <c r="A132" s="9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</sheetData>
  <sheetProtection/>
  <printOptions horizontalCentered="1"/>
  <pageMargins left="0.5118110236220472" right="0.5118110236220472" top="0.5905511811023623" bottom="0.5905511811023623" header="0" footer="0.35433070866141736"/>
  <pageSetup fitToHeight="1" fitToWidth="1" horizontalDpi="600" verticalDpi="600" orientation="portrait" paperSize="9" scale="70" r:id="rId1"/>
  <headerFooter alignWithMargins="0">
    <oddFooter>&amp;C&amp;D</oddFooter>
  </headerFooter>
  <ignoredErrors>
    <ignoredError sqref="I13:I18 I49:I84 I85:I89 I91 I93 I95 I97 I99 I101 I103 I105:I109 I111 I113 I115 I117 I1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174"/>
  <sheetViews>
    <sheetView zoomScale="75" zoomScaleNormal="75" zoomScalePageLayoutView="0" workbookViewId="0" topLeftCell="A1">
      <selection activeCell="A5" sqref="A5"/>
    </sheetView>
  </sheetViews>
  <sheetFormatPr defaultColWidth="9.77734375" defaultRowHeight="15.75"/>
  <cols>
    <col min="1" max="1" width="9.77734375" style="0" customWidth="1"/>
    <col min="2" max="2" width="12.21484375" style="0" customWidth="1"/>
    <col min="3" max="3" width="3.99609375" style="0" bestFit="1" customWidth="1"/>
    <col min="4" max="4" width="12.21484375" style="0" customWidth="1"/>
    <col min="5" max="5" width="3.21484375" style="0" bestFit="1" customWidth="1"/>
    <col min="6" max="7" width="12.21484375" style="0" customWidth="1"/>
    <col min="8" max="8" width="2.4453125" style="0" customWidth="1"/>
    <col min="9" max="9" width="12.21484375" style="0" customWidth="1"/>
    <col min="10" max="10" width="3.99609375" style="0" bestFit="1" customWidth="1"/>
    <col min="11" max="11" width="13.3359375" style="0" customWidth="1"/>
    <col min="12" max="12" width="12.21484375" style="0" customWidth="1"/>
    <col min="13" max="13" width="2.4453125" style="0" bestFit="1" customWidth="1"/>
    <col min="14" max="14" width="12.77734375" style="0" customWidth="1"/>
    <col min="15" max="15" width="7.3359375" style="0" hidden="1" customWidth="1"/>
  </cols>
  <sheetData>
    <row r="1" ht="15.75">
      <c r="A1" s="2" t="s">
        <v>12</v>
      </c>
    </row>
    <row r="2" ht="15.75">
      <c r="A2" s="72" t="s">
        <v>92</v>
      </c>
    </row>
    <row r="3" ht="15.75">
      <c r="A3" s="3" t="s">
        <v>93</v>
      </c>
    </row>
    <row r="4" spans="1:13" ht="2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20.25">
      <c r="A5" s="6" t="s">
        <v>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9.5">
      <c r="A6" s="40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">
      <c r="A7" s="7" t="s">
        <v>111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4"/>
    </row>
    <row r="9" spans="1:15" ht="16.5">
      <c r="A9" s="15"/>
      <c r="B9" s="16" t="s">
        <v>0</v>
      </c>
      <c r="C9" s="16"/>
      <c r="D9" s="16" t="s">
        <v>1</v>
      </c>
      <c r="E9" s="16"/>
      <c r="F9" s="16" t="s">
        <v>2</v>
      </c>
      <c r="G9" s="16" t="s">
        <v>3</v>
      </c>
      <c r="H9" s="16"/>
      <c r="I9" s="16"/>
      <c r="J9" s="16"/>
      <c r="K9" s="16" t="s">
        <v>4</v>
      </c>
      <c r="L9" s="16"/>
      <c r="M9" s="16"/>
      <c r="N9" s="17"/>
      <c r="O9" s="17"/>
    </row>
    <row r="10" spans="1:15" ht="16.5">
      <c r="A10" s="45" t="s">
        <v>5</v>
      </c>
      <c r="B10" s="18" t="s">
        <v>6</v>
      </c>
      <c r="C10" s="18"/>
      <c r="D10" s="18" t="s">
        <v>7</v>
      </c>
      <c r="E10" s="18"/>
      <c r="F10" s="18" t="s">
        <v>8</v>
      </c>
      <c r="G10" s="18" t="s">
        <v>6</v>
      </c>
      <c r="H10" s="18"/>
      <c r="I10" s="18" t="s">
        <v>11</v>
      </c>
      <c r="J10" s="18"/>
      <c r="K10" s="18" t="s">
        <v>18</v>
      </c>
      <c r="L10" s="18" t="s">
        <v>9</v>
      </c>
      <c r="M10" s="18"/>
      <c r="N10" s="19" t="s">
        <v>10</v>
      </c>
      <c r="O10" s="19" t="s">
        <v>10</v>
      </c>
    </row>
    <row r="11" spans="1:15" ht="9.7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</row>
    <row r="12" spans="1:15" ht="9.75" customHeight="1">
      <c r="A12" s="10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41"/>
      <c r="M12" s="11"/>
      <c r="N12" s="12"/>
      <c r="O12" s="12"/>
    </row>
    <row r="13" spans="1:15" ht="15.75">
      <c r="A13" s="34">
        <v>1970</v>
      </c>
      <c r="B13" s="25">
        <f>+'EJECUC(AMT)'!B13+'EJECUC(INT)'!B13</f>
        <v>18</v>
      </c>
      <c r="C13" s="26"/>
      <c r="D13" s="26">
        <f>+'EJECUC(AMT)'!C13+'EJECUC(INT)'!C13</f>
        <v>22</v>
      </c>
      <c r="E13" s="26"/>
      <c r="F13" s="26">
        <f>+'EJECUC(AMT)'!D13+'EJECUC(INT)'!D13</f>
        <v>0</v>
      </c>
      <c r="G13" s="26">
        <f>+'EJECUC(AMT)'!E13+'EJECUC(INT)'!E13</f>
        <v>37</v>
      </c>
      <c r="H13" s="26"/>
      <c r="I13" s="26">
        <f>+'EJECUC(AMT)'!F13+'EJECUC(INT)'!F13</f>
        <v>0</v>
      </c>
      <c r="J13" s="26"/>
      <c r="K13" s="26">
        <f>+'EJECUC(AMT)'!G13+'EJECUC(INT)'!G13</f>
        <v>0</v>
      </c>
      <c r="L13" s="42">
        <f>+'EJECUC(AMT)'!H13+'EJECUC(INT)'!H13</f>
        <v>90</v>
      </c>
      <c r="M13" s="26"/>
      <c r="N13" s="27">
        <f aca="true" t="shared" si="0" ref="N13:N73">SUM(B13:L13)</f>
        <v>167</v>
      </c>
      <c r="O13" s="27">
        <f aca="true" t="shared" si="1" ref="O13:O23">SUM(B13:N13)</f>
        <v>334</v>
      </c>
    </row>
    <row r="14" spans="1:15" ht="6.75" customHeight="1">
      <c r="A14" s="3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42"/>
      <c r="M14" s="26"/>
      <c r="N14" s="27"/>
      <c r="O14" s="27"/>
    </row>
    <row r="15" spans="1:15" ht="15.75">
      <c r="A15" s="34">
        <v>1971</v>
      </c>
      <c r="B15" s="25">
        <f>+'EJECUC(AMT)'!B15+'EJECUC(INT)'!B15</f>
        <v>21</v>
      </c>
      <c r="C15" s="26"/>
      <c r="D15" s="26">
        <f>+'EJECUC(AMT)'!C15+'EJECUC(INT)'!C15</f>
        <v>42</v>
      </c>
      <c r="E15" s="26"/>
      <c r="F15" s="26">
        <f>+'EJECUC(AMT)'!D15+'EJECUC(INT)'!D15</f>
        <v>0</v>
      </c>
      <c r="G15" s="26">
        <f>+'EJECUC(AMT)'!E15+'EJECUC(INT)'!E15</f>
        <v>38</v>
      </c>
      <c r="H15" s="26"/>
      <c r="I15" s="26">
        <f>+'EJECUC(AMT)'!F15+'EJECUC(INT)'!F15</f>
        <v>0</v>
      </c>
      <c r="J15" s="26"/>
      <c r="K15" s="26">
        <f>+'EJECUC(AMT)'!G15+'EJECUC(INT)'!G15</f>
        <v>0</v>
      </c>
      <c r="L15" s="42">
        <f>+'EJECUC(AMT)'!H15+'EJECUC(INT)'!H15</f>
        <v>112</v>
      </c>
      <c r="M15" s="26"/>
      <c r="N15" s="27">
        <f t="shared" si="0"/>
        <v>213</v>
      </c>
      <c r="O15" s="27">
        <f t="shared" si="1"/>
        <v>426</v>
      </c>
    </row>
    <row r="16" spans="1:15" ht="6.75" customHeight="1">
      <c r="A16" s="3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42"/>
      <c r="M16" s="26"/>
      <c r="N16" s="27"/>
      <c r="O16" s="27"/>
    </row>
    <row r="17" spans="1:15" ht="15.75">
      <c r="A17" s="34">
        <v>1972</v>
      </c>
      <c r="B17" s="25">
        <f>+'EJECUC(AMT)'!B17+'EJECUC(INT)'!B17</f>
        <v>24</v>
      </c>
      <c r="C17" s="26"/>
      <c r="D17" s="26">
        <f>+'EJECUC(AMT)'!C17+'EJECUC(INT)'!C17</f>
        <v>54</v>
      </c>
      <c r="E17" s="26"/>
      <c r="F17" s="26">
        <f>+'EJECUC(AMT)'!D17+'EJECUC(INT)'!D17</f>
        <v>0</v>
      </c>
      <c r="G17" s="26">
        <f>+'EJECUC(AMT)'!E17+'EJECUC(INT)'!E17</f>
        <v>42</v>
      </c>
      <c r="H17" s="26"/>
      <c r="I17" s="26">
        <f>+'EJECUC(AMT)'!F17+'EJECUC(INT)'!F17</f>
        <v>0</v>
      </c>
      <c r="J17" s="26"/>
      <c r="K17" s="26">
        <f>+'EJECUC(AMT)'!G17+'EJECUC(INT)'!G17</f>
        <v>0</v>
      </c>
      <c r="L17" s="42">
        <f>+'EJECUC(AMT)'!H17+'EJECUC(INT)'!H17</f>
        <v>99</v>
      </c>
      <c r="M17" s="26"/>
      <c r="N17" s="27">
        <f t="shared" si="0"/>
        <v>219</v>
      </c>
      <c r="O17" s="27">
        <f t="shared" si="1"/>
        <v>438</v>
      </c>
    </row>
    <row r="18" spans="1:15" ht="6.75" customHeight="1">
      <c r="A18" s="3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42"/>
      <c r="M18" s="26"/>
      <c r="N18" s="27"/>
      <c r="O18" s="27"/>
    </row>
    <row r="19" spans="1:15" ht="15.75">
      <c r="A19" s="34">
        <v>1973</v>
      </c>
      <c r="B19" s="25">
        <f>+'EJECUC(AMT)'!B19+'EJECUC(INT)'!B19</f>
        <v>27</v>
      </c>
      <c r="C19" s="26"/>
      <c r="D19" s="26">
        <f>+'EJECUC(AMT)'!C19+'EJECUC(INT)'!C19</f>
        <v>92.68</v>
      </c>
      <c r="E19" s="26"/>
      <c r="F19" s="26">
        <f>+'EJECUC(AMT)'!D19+'EJECUC(INT)'!D19</f>
        <v>2.32</v>
      </c>
      <c r="G19" s="26">
        <f>+'EJECUC(AMT)'!E19+'EJECUC(INT)'!E19</f>
        <v>183</v>
      </c>
      <c r="H19" s="26"/>
      <c r="I19" s="26">
        <f>+'EJECUC(AMT)'!F19+'EJECUC(INT)'!F19</f>
        <v>0</v>
      </c>
      <c r="J19" s="26"/>
      <c r="K19" s="26">
        <f>+'EJECUC(AMT)'!G19+'EJECUC(INT)'!G19</f>
        <v>1</v>
      </c>
      <c r="L19" s="42">
        <f>+'EJECUC(AMT)'!H19+'EJECUC(INT)'!H19</f>
        <v>127</v>
      </c>
      <c r="M19" s="26"/>
      <c r="N19" s="27">
        <f t="shared" si="0"/>
        <v>433</v>
      </c>
      <c r="O19" s="27">
        <f t="shared" si="1"/>
        <v>866</v>
      </c>
    </row>
    <row r="20" spans="1:15" ht="6.75" customHeight="1">
      <c r="A20" s="3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42"/>
      <c r="M20" s="26"/>
      <c r="N20" s="27"/>
      <c r="O20" s="27"/>
    </row>
    <row r="21" spans="1:15" ht="15.75">
      <c r="A21" s="34">
        <v>1974</v>
      </c>
      <c r="B21" s="25">
        <f>+'EJECUC(AMT)'!B21+'EJECUC(INT)'!B21</f>
        <v>28</v>
      </c>
      <c r="C21" s="26"/>
      <c r="D21" s="26">
        <f>+'EJECUC(AMT)'!C21+'EJECUC(INT)'!C21</f>
        <v>105.435</v>
      </c>
      <c r="E21" s="26"/>
      <c r="F21" s="26">
        <f>+'EJECUC(AMT)'!D21+'EJECUC(INT)'!D21</f>
        <v>7.565</v>
      </c>
      <c r="G21" s="26">
        <f>+'EJECUC(AMT)'!E21+'EJECUC(INT)'!E21</f>
        <v>198</v>
      </c>
      <c r="H21" s="26"/>
      <c r="I21" s="26">
        <f>+'EJECUC(AMT)'!F21+'EJECUC(INT)'!F21</f>
        <v>0</v>
      </c>
      <c r="J21" s="26"/>
      <c r="K21" s="26">
        <f>+'EJECUC(AMT)'!G21+'EJECUC(INT)'!G21</f>
        <v>4</v>
      </c>
      <c r="L21" s="42">
        <f>+'EJECUC(AMT)'!H21+'EJECUC(INT)'!H21</f>
        <v>113</v>
      </c>
      <c r="M21" s="26"/>
      <c r="N21" s="27">
        <f t="shared" si="0"/>
        <v>456</v>
      </c>
      <c r="O21" s="27">
        <f t="shared" si="1"/>
        <v>912</v>
      </c>
    </row>
    <row r="22" spans="1:15" ht="6.75" customHeight="1">
      <c r="A22" s="3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42"/>
      <c r="M22" s="26"/>
      <c r="N22" s="27"/>
      <c r="O22" s="27"/>
    </row>
    <row r="23" spans="1:15" ht="15.75">
      <c r="A23" s="34">
        <v>1975</v>
      </c>
      <c r="B23" s="25">
        <f>+'EJECUC(AMT)'!B23+'EJECUC(INT)'!B23</f>
        <v>31</v>
      </c>
      <c r="C23" s="26"/>
      <c r="D23" s="26">
        <f>+'EJECUC(AMT)'!C23+'EJECUC(INT)'!C23</f>
        <v>123.613</v>
      </c>
      <c r="E23" s="26"/>
      <c r="F23" s="26">
        <f>+'EJECUC(AMT)'!D23+'EJECUC(INT)'!D23</f>
        <v>8.387</v>
      </c>
      <c r="G23" s="26">
        <f>+'EJECUC(AMT)'!E23+'EJECUC(INT)'!E23</f>
        <v>164</v>
      </c>
      <c r="H23" s="26"/>
      <c r="I23" s="26">
        <f>+'EJECUC(AMT)'!F23+'EJECUC(INT)'!F23</f>
        <v>0</v>
      </c>
      <c r="J23" s="26"/>
      <c r="K23" s="26">
        <f>+'EJECUC(AMT)'!G23+'EJECUC(INT)'!G23</f>
        <v>21</v>
      </c>
      <c r="L23" s="42">
        <f>+'EJECUC(AMT)'!H23+'EJECUC(INT)'!H23</f>
        <v>126</v>
      </c>
      <c r="M23" s="26"/>
      <c r="N23" s="27">
        <f t="shared" si="0"/>
        <v>474</v>
      </c>
      <c r="O23" s="27">
        <f t="shared" si="1"/>
        <v>948</v>
      </c>
    </row>
    <row r="24" spans="1:15" ht="6.75" customHeight="1">
      <c r="A24" s="3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42"/>
      <c r="M24" s="26"/>
      <c r="N24" s="27"/>
      <c r="O24" s="27"/>
    </row>
    <row r="25" spans="1:15" ht="15.75">
      <c r="A25" s="34">
        <v>1976</v>
      </c>
      <c r="B25" s="25">
        <f>+'EJECUC(AMT)'!B25+'EJECUC(INT)'!B25</f>
        <v>28</v>
      </c>
      <c r="C25" s="26"/>
      <c r="D25" s="26">
        <f>+'EJECUC(AMT)'!C25+'EJECUC(INT)'!C25</f>
        <v>94.028</v>
      </c>
      <c r="E25" s="26"/>
      <c r="F25" s="26">
        <f>+'EJECUC(AMT)'!D25+'EJECUC(INT)'!D25</f>
        <v>9.972000000000001</v>
      </c>
      <c r="G25" s="26">
        <f>+'EJECUC(AMT)'!E25+'EJECUC(INT)'!E25</f>
        <v>179</v>
      </c>
      <c r="H25" s="26"/>
      <c r="I25" s="26">
        <f>+'EJECUC(AMT)'!F25+'EJECUC(INT)'!F25</f>
        <v>0</v>
      </c>
      <c r="J25" s="26"/>
      <c r="K25" s="26">
        <f>+'EJECUC(AMT)'!G25+'EJECUC(INT)'!G25</f>
        <v>30</v>
      </c>
      <c r="L25" s="42">
        <f>+'EJECUC(AMT)'!H25+'EJECUC(INT)'!H25</f>
        <v>144</v>
      </c>
      <c r="M25" s="26"/>
      <c r="N25" s="27">
        <f t="shared" si="0"/>
        <v>485</v>
      </c>
      <c r="O25" s="27"/>
    </row>
    <row r="26" spans="1:15" ht="6.75" customHeight="1">
      <c r="A26" s="3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42"/>
      <c r="M26" s="26"/>
      <c r="N26" s="27"/>
      <c r="O26" s="27"/>
    </row>
    <row r="27" spans="1:15" ht="15.75">
      <c r="A27" s="34">
        <v>1977</v>
      </c>
      <c r="B27" s="25">
        <f>+'EJECUC(AMT)'!B27+'EJECUC(INT)'!B27</f>
        <v>33</v>
      </c>
      <c r="C27" s="26"/>
      <c r="D27" s="26">
        <f>+'EJECUC(AMT)'!C27+'EJECUC(INT)'!C27</f>
        <v>70.921</v>
      </c>
      <c r="E27" s="26"/>
      <c r="F27" s="26">
        <f>+'EJECUC(AMT)'!D27+'EJECUC(INT)'!D27</f>
        <v>23.079</v>
      </c>
      <c r="G27" s="26">
        <f>+'EJECUC(AMT)'!E27+'EJECUC(INT)'!E27</f>
        <v>257</v>
      </c>
      <c r="H27" s="26"/>
      <c r="I27" s="26">
        <f>+'EJECUC(AMT)'!F27+'EJECUC(INT)'!F27</f>
        <v>0</v>
      </c>
      <c r="J27" s="26"/>
      <c r="K27" s="26">
        <f>+'EJECUC(AMT)'!G27+'EJECUC(INT)'!G27</f>
        <v>53</v>
      </c>
      <c r="L27" s="42">
        <f>+'EJECUC(AMT)'!H27+'EJECUC(INT)'!H27</f>
        <v>185</v>
      </c>
      <c r="M27" s="26"/>
      <c r="N27" s="27">
        <f t="shared" si="0"/>
        <v>622</v>
      </c>
      <c r="O27" s="27"/>
    </row>
    <row r="28" spans="1:15" ht="6.75" customHeight="1">
      <c r="A28" s="3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42"/>
      <c r="M28" s="26"/>
      <c r="N28" s="27"/>
      <c r="O28" s="27"/>
    </row>
    <row r="29" spans="1:15" ht="15.75">
      <c r="A29" s="34">
        <v>1978</v>
      </c>
      <c r="B29" s="25">
        <f>+'EJECUC(AMT)'!B29+'EJECUC(INT)'!B29</f>
        <v>41</v>
      </c>
      <c r="C29" s="26"/>
      <c r="D29" s="26">
        <f>+'EJECUC(AMT)'!C29+'EJECUC(INT)'!C29</f>
        <v>128.058</v>
      </c>
      <c r="E29" s="26"/>
      <c r="F29" s="26">
        <f>+'EJECUC(AMT)'!D29+'EJECUC(INT)'!D29</f>
        <v>33.942</v>
      </c>
      <c r="G29" s="26">
        <f>+'EJECUC(AMT)'!E29+'EJECUC(INT)'!E29</f>
        <v>221</v>
      </c>
      <c r="H29" s="26"/>
      <c r="I29" s="26">
        <f>+'EJECUC(AMT)'!F29+'EJECUC(INT)'!F29</f>
        <v>0</v>
      </c>
      <c r="J29" s="26"/>
      <c r="K29" s="26">
        <f>+'EJECUC(AMT)'!G29+'EJECUC(INT)'!G29</f>
        <v>60</v>
      </c>
      <c r="L29" s="42">
        <f>+'EJECUC(AMT)'!H29+'EJECUC(INT)'!H29</f>
        <v>218</v>
      </c>
      <c r="M29" s="26"/>
      <c r="N29" s="27">
        <f t="shared" si="0"/>
        <v>702</v>
      </c>
      <c r="O29" s="27"/>
    </row>
    <row r="30" spans="1:15" ht="6.75" customHeight="1">
      <c r="A30" s="34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42"/>
      <c r="M30" s="26"/>
      <c r="N30" s="27"/>
      <c r="O30" s="27"/>
    </row>
    <row r="31" spans="1:15" ht="15.75">
      <c r="A31" s="34">
        <v>1979</v>
      </c>
      <c r="B31" s="25">
        <f>+'EJECUC(AMT)'!B31+'EJECUC(INT)'!B31</f>
        <v>46</v>
      </c>
      <c r="C31" s="26"/>
      <c r="D31" s="26">
        <f>+'EJECUC(AMT)'!C31+'EJECUC(INT)'!C31</f>
        <v>173.845</v>
      </c>
      <c r="E31" s="26"/>
      <c r="F31" s="26">
        <f>+'EJECUC(AMT)'!D31+'EJECUC(INT)'!D31</f>
        <v>47.155</v>
      </c>
      <c r="G31" s="26">
        <f>+'EJECUC(AMT)'!E31+'EJECUC(INT)'!E31</f>
        <v>311</v>
      </c>
      <c r="H31" s="26"/>
      <c r="I31" s="26">
        <f>+'EJECUC(AMT)'!F31+'EJECUC(INT)'!F31</f>
        <v>0</v>
      </c>
      <c r="J31" s="26"/>
      <c r="K31" s="26">
        <f>+'EJECUC(AMT)'!G31+'EJECUC(INT)'!G31</f>
        <v>70</v>
      </c>
      <c r="L31" s="42">
        <f>+'EJECUC(AMT)'!H31+'EJECUC(INT)'!H31</f>
        <v>177</v>
      </c>
      <c r="M31" s="26"/>
      <c r="N31" s="27">
        <f t="shared" si="0"/>
        <v>825</v>
      </c>
      <c r="O31" s="27"/>
    </row>
    <row r="32" spans="1:15" ht="6.75" customHeight="1">
      <c r="A32" s="3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42"/>
      <c r="M32" s="26"/>
      <c r="N32" s="27"/>
      <c r="O32" s="27"/>
    </row>
    <row r="33" spans="1:16" ht="15.75">
      <c r="A33" s="34">
        <v>1980</v>
      </c>
      <c r="B33" s="25">
        <f>+'EJECUC(AMT)'!B33+'EJECUC(INT)'!B33</f>
        <v>62</v>
      </c>
      <c r="C33" s="26"/>
      <c r="D33" s="26">
        <f>+'EJECUC(AMT)'!C33+'EJECUC(INT)'!C33</f>
        <v>250.07199999999997</v>
      </c>
      <c r="E33" s="26"/>
      <c r="F33" s="26">
        <f>+'EJECUC(AMT)'!D33+'EJECUC(INT)'!D33</f>
        <v>58.928</v>
      </c>
      <c r="G33" s="26">
        <f>+'EJECUC(AMT)'!E33+'EJECUC(INT)'!E33</f>
        <v>639.954</v>
      </c>
      <c r="H33" s="63" t="s">
        <v>22</v>
      </c>
      <c r="I33" s="26">
        <f>+'EJECUC(AMT)'!F33+'EJECUC(INT)'!F33</f>
        <v>0</v>
      </c>
      <c r="J33" s="26"/>
      <c r="K33" s="26">
        <f>+'EJECUC(AMT)'!G33+'EJECUC(INT)'!G33</f>
        <v>93</v>
      </c>
      <c r="L33" s="42">
        <f>+'EJECUC(AMT)'!H33+'EJECUC(INT)'!H33</f>
        <v>322</v>
      </c>
      <c r="M33" s="26"/>
      <c r="N33" s="27">
        <f t="shared" si="0"/>
        <v>1425.954</v>
      </c>
      <c r="O33" s="27"/>
      <c r="P33" s="35"/>
    </row>
    <row r="34" spans="1:16" ht="6.75" customHeight="1">
      <c r="A34" s="34"/>
      <c r="B34" s="25"/>
      <c r="C34" s="26"/>
      <c r="D34" s="26"/>
      <c r="E34" s="26"/>
      <c r="F34" s="26"/>
      <c r="G34" s="26"/>
      <c r="H34" s="56"/>
      <c r="I34" s="26"/>
      <c r="J34" s="26"/>
      <c r="K34" s="26"/>
      <c r="L34" s="42"/>
      <c r="M34" s="26"/>
      <c r="N34" s="27"/>
      <c r="O34" s="27"/>
      <c r="P34" s="35"/>
    </row>
    <row r="35" spans="1:16" ht="15.75">
      <c r="A35" s="34">
        <v>1981</v>
      </c>
      <c r="B35" s="38">
        <f>+'EJECUC(AMT)'!B35+'EJECUC(INT)'!B35</f>
        <v>81.75200000000001</v>
      </c>
      <c r="C35" s="37"/>
      <c r="D35" s="26">
        <f>+'EJECUC(AMT)'!C35+'EJECUC(INT)'!C35</f>
        <v>245.74</v>
      </c>
      <c r="E35" s="26"/>
      <c r="F35" s="37">
        <f>+'EJECUC(AMT)'!D35+'EJECUC(INT)'!D35</f>
        <v>56.26</v>
      </c>
      <c r="G35" s="37">
        <f>+'EJECUC(AMT)'!E35+'EJECUC(INT)'!E35</f>
        <v>907</v>
      </c>
      <c r="H35" s="63" t="s">
        <v>23</v>
      </c>
      <c r="I35" s="26">
        <f>+'EJECUC(AMT)'!F35+'EJECUC(INT)'!F35</f>
        <v>0</v>
      </c>
      <c r="J35" s="26"/>
      <c r="K35" s="37">
        <f>+'EJECUC(AMT)'!G35+'EJECUC(INT)'!G35</f>
        <v>130</v>
      </c>
      <c r="L35" s="50">
        <f>+'EJECUC(AMT)'!H35+'EJECUC(INT)'!H35</f>
        <v>335</v>
      </c>
      <c r="M35" s="37"/>
      <c r="N35" s="51">
        <f t="shared" si="0"/>
        <v>1755.752</v>
      </c>
      <c r="O35" s="27"/>
      <c r="P35" s="35"/>
    </row>
    <row r="36" spans="1:16" ht="6.75" customHeight="1">
      <c r="A36" s="34"/>
      <c r="B36" s="38"/>
      <c r="C36" s="37"/>
      <c r="D36" s="26"/>
      <c r="E36" s="26"/>
      <c r="F36" s="37"/>
      <c r="G36" s="37"/>
      <c r="H36" s="57"/>
      <c r="I36" s="26"/>
      <c r="J36" s="26"/>
      <c r="K36" s="37"/>
      <c r="L36" s="50"/>
      <c r="M36" s="37"/>
      <c r="N36" s="51"/>
      <c r="O36" s="27"/>
      <c r="P36" s="35"/>
    </row>
    <row r="37" spans="1:15" ht="15.75">
      <c r="A37" s="34">
        <v>1982</v>
      </c>
      <c r="B37" s="25">
        <f>+'EJECUC(AMT)'!B37+'EJECUC(INT)'!B37</f>
        <v>102</v>
      </c>
      <c r="C37" s="26"/>
      <c r="D37" s="26">
        <f>+'EJECUC(AMT)'!C37+'EJECUC(INT)'!C37</f>
        <v>187.107</v>
      </c>
      <c r="E37" s="26"/>
      <c r="F37" s="37">
        <f>+'EJECUC(AMT)'!D37+'EJECUC(INT)'!D37</f>
        <v>51.893</v>
      </c>
      <c r="G37" s="26">
        <f>+'EJECUC(AMT)'!E37+'EJECUC(INT)'!E37</f>
        <v>604</v>
      </c>
      <c r="H37" s="57"/>
      <c r="I37" s="26">
        <f>+'EJECUC(AMT)'!F37+'EJECUC(INT)'!F37</f>
        <v>0</v>
      </c>
      <c r="J37" s="26"/>
      <c r="K37" s="26">
        <f>+'EJECUC(AMT)'!G37+'EJECUC(INT)'!G37</f>
        <v>84</v>
      </c>
      <c r="L37" s="42">
        <f>+'EJECUC(AMT)'!H37+'EJECUC(INT)'!H37</f>
        <v>467</v>
      </c>
      <c r="M37" s="26"/>
      <c r="N37" s="27">
        <f t="shared" si="0"/>
        <v>1496</v>
      </c>
      <c r="O37" s="27"/>
    </row>
    <row r="38" spans="1:15" ht="6.75" customHeight="1">
      <c r="A38" s="34"/>
      <c r="B38" s="25"/>
      <c r="C38" s="26"/>
      <c r="D38" s="26"/>
      <c r="E38" s="26"/>
      <c r="F38" s="37"/>
      <c r="G38" s="26"/>
      <c r="H38" s="57"/>
      <c r="I38" s="26"/>
      <c r="J38" s="26"/>
      <c r="K38" s="26"/>
      <c r="L38" s="42"/>
      <c r="M38" s="26"/>
      <c r="N38" s="27"/>
      <c r="O38" s="27"/>
    </row>
    <row r="39" spans="1:15" ht="15.75">
      <c r="A39" s="34">
        <v>1983</v>
      </c>
      <c r="B39" s="25">
        <f>+'EJECUC(AMT)'!B39+'EJECUC(INT)'!B39</f>
        <v>110</v>
      </c>
      <c r="C39" s="26"/>
      <c r="D39" s="26">
        <f>+'EJECUC(AMT)'!C39+'EJECUC(INT)'!C39</f>
        <v>103.92</v>
      </c>
      <c r="E39" s="26"/>
      <c r="F39" s="26">
        <f>+'EJECUC(AMT)'!D39+'EJECUC(INT)'!D39</f>
        <v>22.08</v>
      </c>
      <c r="G39" s="26">
        <f>+'EJECUC(AMT)'!E39+'EJECUC(INT)'!E39</f>
        <v>306</v>
      </c>
      <c r="H39" s="57"/>
      <c r="I39" s="26">
        <f>+'EJECUC(AMT)'!F39+'EJECUC(INT)'!F39</f>
        <v>0</v>
      </c>
      <c r="J39" s="26"/>
      <c r="K39" s="26">
        <f>+'EJECUC(AMT)'!G39+'EJECUC(INT)'!G39</f>
        <v>20</v>
      </c>
      <c r="L39" s="42">
        <f>+'EJECUC(AMT)'!H39+'EJECUC(INT)'!H39</f>
        <v>188</v>
      </c>
      <c r="M39" s="26"/>
      <c r="N39" s="27">
        <f t="shared" si="0"/>
        <v>750</v>
      </c>
      <c r="O39" s="27"/>
    </row>
    <row r="40" spans="1:15" ht="6.75" customHeight="1">
      <c r="A40" s="34"/>
      <c r="B40" s="25"/>
      <c r="C40" s="26"/>
      <c r="D40" s="26"/>
      <c r="E40" s="26"/>
      <c r="F40" s="26"/>
      <c r="G40" s="26"/>
      <c r="H40" s="57"/>
      <c r="I40" s="26"/>
      <c r="J40" s="26"/>
      <c r="K40" s="26"/>
      <c r="L40" s="42"/>
      <c r="M40" s="26"/>
      <c r="N40" s="27"/>
      <c r="O40" s="27"/>
    </row>
    <row r="41" spans="1:16" ht="15.75">
      <c r="A41" s="34">
        <v>1984</v>
      </c>
      <c r="B41" s="25">
        <f>+'EJECUC(AMT)'!B41+'EJECUC(INT)'!B41</f>
        <v>145.624</v>
      </c>
      <c r="C41" s="26"/>
      <c r="D41" s="26">
        <f>+'EJECUC(AMT)'!C41+'EJECUC(INT)'!C41</f>
        <v>134.59199999999998</v>
      </c>
      <c r="E41" s="26"/>
      <c r="F41" s="26">
        <f>+'EJECUC(AMT)'!D41+'EJECUC(INT)'!D41</f>
        <v>20.067999999999998</v>
      </c>
      <c r="G41" s="26">
        <f>+'EJECUC(AMT)'!E41+'EJECUC(INT)'!E41</f>
        <v>196.95499999999998</v>
      </c>
      <c r="H41" s="57"/>
      <c r="I41" s="26">
        <f>+'EJECUC(AMT)'!F41+'EJECUC(INT)'!F41</f>
        <v>0</v>
      </c>
      <c r="J41" s="26"/>
      <c r="K41" s="26">
        <f>+'EJECUC(AMT)'!G41+'EJECUC(INT)'!G41</f>
        <v>55.569</v>
      </c>
      <c r="L41" s="42">
        <f>+'EJECUC(AMT)'!H41+'EJECUC(INT)'!H41</f>
        <v>37</v>
      </c>
      <c r="M41" s="26"/>
      <c r="N41" s="27">
        <f t="shared" si="0"/>
        <v>589.808</v>
      </c>
      <c r="O41" s="27"/>
      <c r="P41" s="35"/>
    </row>
    <row r="42" spans="1:16" ht="6.75" customHeight="1">
      <c r="A42" s="34"/>
      <c r="B42" s="25"/>
      <c r="C42" s="26"/>
      <c r="D42" s="26"/>
      <c r="E42" s="26"/>
      <c r="F42" s="26"/>
      <c r="G42" s="26"/>
      <c r="H42" s="57"/>
      <c r="I42" s="26"/>
      <c r="J42" s="26"/>
      <c r="K42" s="26"/>
      <c r="L42" s="42"/>
      <c r="M42" s="26"/>
      <c r="N42" s="27"/>
      <c r="O42" s="27"/>
      <c r="P42" s="35"/>
    </row>
    <row r="43" spans="1:17" ht="15.75">
      <c r="A43" s="34">
        <v>1985</v>
      </c>
      <c r="B43" s="25">
        <f>+'EJECUC(AMT)'!B43+'EJECUC(INT)'!B43</f>
        <v>175.192</v>
      </c>
      <c r="C43" s="26"/>
      <c r="D43" s="26">
        <f>+'EJECUC(AMT)'!C43+'EJECUC(INT)'!C43</f>
        <v>108.542</v>
      </c>
      <c r="E43" s="26"/>
      <c r="F43" s="26">
        <f>+'EJECUC(AMT)'!D43+'EJECUC(INT)'!D43</f>
        <v>50.029207</v>
      </c>
      <c r="G43" s="26">
        <f>+'EJECUC(AMT)'!E43+'EJECUC(INT)'!E43</f>
        <v>132.999</v>
      </c>
      <c r="H43" s="57"/>
      <c r="I43" s="26">
        <f>+'EJECUC(AMT)'!F43+'EJECUC(INT)'!F43</f>
        <v>0</v>
      </c>
      <c r="J43" s="26"/>
      <c r="K43" s="26">
        <f>+'EJECUC(AMT)'!G43+'EJECUC(INT)'!G43</f>
        <v>149.857</v>
      </c>
      <c r="L43" s="42">
        <f>+'EJECUC(AMT)'!H43+'EJECUC(INT)'!H43</f>
        <v>42.696</v>
      </c>
      <c r="M43" s="26"/>
      <c r="N43" s="27">
        <f t="shared" si="0"/>
        <v>659.315207</v>
      </c>
      <c r="O43" s="27"/>
      <c r="P43" s="36"/>
      <c r="Q43" s="36"/>
    </row>
    <row r="44" spans="1:17" ht="6.75" customHeight="1">
      <c r="A44" s="34"/>
      <c r="B44" s="25"/>
      <c r="C44" s="26"/>
      <c r="D44" s="26"/>
      <c r="E44" s="26"/>
      <c r="F44" s="26"/>
      <c r="G44" s="26"/>
      <c r="H44" s="57"/>
      <c r="I44" s="26"/>
      <c r="J44" s="26"/>
      <c r="K44" s="26"/>
      <c r="L44" s="42"/>
      <c r="M44" s="26"/>
      <c r="N44" s="27"/>
      <c r="O44" s="27"/>
      <c r="P44" s="36"/>
      <c r="Q44" s="36"/>
    </row>
    <row r="45" spans="1:17" ht="15.75">
      <c r="A45" s="34">
        <v>1986</v>
      </c>
      <c r="B45" s="25">
        <f>+'EJECUC(AMT)'!B45+'EJECUC(INT)'!B45</f>
        <v>229.159</v>
      </c>
      <c r="C45" s="26"/>
      <c r="D45" s="26">
        <f>+'EJECUC(AMT)'!C45+'EJECUC(INT)'!C45</f>
        <v>46.114999999999995</v>
      </c>
      <c r="E45" s="26"/>
      <c r="F45" s="26">
        <f>+'EJECUC(AMT)'!D45+'EJECUC(INT)'!D45</f>
        <v>66.788</v>
      </c>
      <c r="G45" s="26">
        <f>+'EJECUC(AMT)'!E45+'EJECUC(INT)'!E45</f>
        <v>27</v>
      </c>
      <c r="H45" s="57"/>
      <c r="I45" s="26">
        <f>+'EJECUC(AMT)'!F45+'EJECUC(INT)'!F45</f>
        <v>0</v>
      </c>
      <c r="J45" s="26"/>
      <c r="K45" s="26">
        <f>+'EJECUC(AMT)'!G45+'EJECUC(INT)'!G45</f>
        <v>101.851</v>
      </c>
      <c r="L45" s="42">
        <f>+'EJECUC(AMT)'!H45+'EJECUC(INT)'!H45</f>
        <v>7.955</v>
      </c>
      <c r="M45" s="26"/>
      <c r="N45" s="51">
        <f t="shared" si="0"/>
        <v>478.868</v>
      </c>
      <c r="O45" s="27"/>
      <c r="P45" s="36"/>
      <c r="Q45" s="36"/>
    </row>
    <row r="46" spans="1:17" ht="6.75" customHeight="1">
      <c r="A46" s="34"/>
      <c r="B46" s="25"/>
      <c r="C46" s="26"/>
      <c r="D46" s="26"/>
      <c r="E46" s="26"/>
      <c r="F46" s="26"/>
      <c r="G46" s="26"/>
      <c r="H46" s="57"/>
      <c r="I46" s="26"/>
      <c r="J46" s="26"/>
      <c r="K46" s="26"/>
      <c r="L46" s="42"/>
      <c r="M46" s="26"/>
      <c r="N46" s="51"/>
      <c r="O46" s="27"/>
      <c r="P46" s="36"/>
      <c r="Q46" s="36"/>
    </row>
    <row r="47" spans="1:15" ht="15.75">
      <c r="A47" s="34">
        <v>1987</v>
      </c>
      <c r="B47" s="25">
        <f>+'EJECUC(AMT)'!B47+'EJECUC(INT)'!B47</f>
        <v>155</v>
      </c>
      <c r="C47" s="26"/>
      <c r="D47" s="26">
        <f>+'EJECUC(AMT)'!C47+'EJECUC(INT)'!C47</f>
        <v>73.3</v>
      </c>
      <c r="E47" s="26"/>
      <c r="F47" s="26">
        <f>+'EJECUC(AMT)'!D47+'EJECUC(INT)'!D47</f>
        <v>85.613602</v>
      </c>
      <c r="G47" s="26">
        <f>+'EJECUC(AMT)'!E47+'EJECUC(INT)'!E47</f>
        <v>5</v>
      </c>
      <c r="H47" s="57"/>
      <c r="I47" s="26">
        <f>+'EJECUC(AMT)'!F47+'EJECUC(INT)'!F47</f>
        <v>0</v>
      </c>
      <c r="J47" s="26"/>
      <c r="K47" s="26">
        <f>+'EJECUC(AMT)'!G47+'EJECUC(INT)'!G47</f>
        <v>96.5</v>
      </c>
      <c r="L47" s="42">
        <f>+'EJECUC(AMT)'!H47+'EJECUC(INT)'!H47</f>
        <v>12.2</v>
      </c>
      <c r="M47" s="26"/>
      <c r="N47" s="51">
        <f t="shared" si="0"/>
        <v>427.613602</v>
      </c>
      <c r="O47" s="27"/>
    </row>
    <row r="48" spans="1:15" ht="6.75" customHeight="1">
      <c r="A48" s="34"/>
      <c r="B48" s="25"/>
      <c r="C48" s="26"/>
      <c r="D48" s="26"/>
      <c r="E48" s="26"/>
      <c r="F48" s="26"/>
      <c r="G48" s="26"/>
      <c r="H48" s="57"/>
      <c r="I48" s="26"/>
      <c r="J48" s="26"/>
      <c r="K48" s="26"/>
      <c r="L48" s="42"/>
      <c r="M48" s="26"/>
      <c r="N48" s="51"/>
      <c r="O48" s="27"/>
    </row>
    <row r="49" spans="1:15" ht="15.75">
      <c r="A49" s="34">
        <v>1988</v>
      </c>
      <c r="B49" s="25">
        <f>+'EJECUC(AMT)'!B49+'EJECUC(INT)'!B49</f>
        <v>76.4</v>
      </c>
      <c r="C49" s="26"/>
      <c r="D49" s="26">
        <f>+'EJECUC(AMT)'!C49+'EJECUC(INT)'!C49</f>
        <v>42</v>
      </c>
      <c r="E49" s="26"/>
      <c r="F49" s="26">
        <f>+'EJECUC(AMT)'!D49+'EJECUC(INT)'!D49</f>
        <v>81</v>
      </c>
      <c r="G49" s="26">
        <f>+'EJECUC(AMT)'!E49+'EJECUC(INT)'!E49</f>
        <v>2.7</v>
      </c>
      <c r="H49" s="57"/>
      <c r="I49" s="26">
        <f>+'EJECUC(AMT)'!F49+'EJECUC(INT)'!F49</f>
        <v>0</v>
      </c>
      <c r="J49" s="26"/>
      <c r="K49" s="26">
        <f>+'EJECUC(AMT)'!G49+'EJECUC(INT)'!G49</f>
        <v>43.2</v>
      </c>
      <c r="L49" s="42">
        <f>+'EJECUC(AMT)'!H49+'EJECUC(INT)'!H49</f>
        <v>1</v>
      </c>
      <c r="M49" s="26"/>
      <c r="N49" s="51">
        <f t="shared" si="0"/>
        <v>246.3</v>
      </c>
      <c r="O49" s="27"/>
    </row>
    <row r="50" spans="1:15" ht="6.75" customHeight="1">
      <c r="A50" s="34"/>
      <c r="B50" s="25"/>
      <c r="C50" s="26"/>
      <c r="D50" s="26"/>
      <c r="E50" s="26"/>
      <c r="F50" s="26"/>
      <c r="G50" s="26"/>
      <c r="H50" s="57"/>
      <c r="I50" s="26"/>
      <c r="J50" s="26"/>
      <c r="K50" s="26"/>
      <c r="L50" s="42"/>
      <c r="M50" s="26"/>
      <c r="N50" s="51"/>
      <c r="O50" s="27"/>
    </row>
    <row r="51" spans="1:15" ht="15.75">
      <c r="A51" s="34">
        <v>1989</v>
      </c>
      <c r="B51" s="25">
        <f>+'EJECUC(AMT)'!B51+'EJECUC(INT)'!B51</f>
        <v>28</v>
      </c>
      <c r="C51" s="26"/>
      <c r="D51" s="26">
        <f>+'EJECUC(AMT)'!C51+'EJECUC(INT)'!C51</f>
        <v>40</v>
      </c>
      <c r="E51" s="26"/>
      <c r="F51" s="26">
        <f>+'EJECUC(AMT)'!D51+'EJECUC(INT)'!D51</f>
        <v>114.173323</v>
      </c>
      <c r="G51" s="26">
        <f>+'EJECUC(AMT)'!E51+'EJECUC(INT)'!E51</f>
        <v>4</v>
      </c>
      <c r="H51" s="57"/>
      <c r="I51" s="26">
        <f>+'EJECUC(AMT)'!F51+'EJECUC(INT)'!F51</f>
        <v>0</v>
      </c>
      <c r="J51" s="26"/>
      <c r="K51" s="26">
        <f>+'EJECUC(AMT)'!G51+'EJECUC(INT)'!G51</f>
        <v>63</v>
      </c>
      <c r="L51" s="42">
        <f>+'EJECUC(AMT)'!H51+'EJECUC(INT)'!H51</f>
        <v>12</v>
      </c>
      <c r="M51" s="26"/>
      <c r="N51" s="51">
        <f t="shared" si="0"/>
        <v>261.173323</v>
      </c>
      <c r="O51" s="27"/>
    </row>
    <row r="52" spans="1:15" ht="6.75" customHeight="1">
      <c r="A52" s="34"/>
      <c r="B52" s="25"/>
      <c r="C52" s="26"/>
      <c r="D52" s="26"/>
      <c r="E52" s="26"/>
      <c r="F52" s="26"/>
      <c r="G52" s="26"/>
      <c r="H52" s="57"/>
      <c r="I52" s="26"/>
      <c r="J52" s="26"/>
      <c r="K52" s="26"/>
      <c r="L52" s="42"/>
      <c r="M52" s="26"/>
      <c r="N52" s="51"/>
      <c r="O52" s="27"/>
    </row>
    <row r="53" spans="1:15" ht="15.75">
      <c r="A53" s="34">
        <v>1990</v>
      </c>
      <c r="B53" s="25">
        <f>+'EJECUC(AMT)'!B53+'EJECUC(INT)'!B53</f>
        <v>60</v>
      </c>
      <c r="C53" s="26"/>
      <c r="D53" s="26">
        <f>+'EJECUC(AMT)'!C53+'EJECUC(INT)'!C53</f>
        <v>12</v>
      </c>
      <c r="E53" s="26"/>
      <c r="F53" s="26">
        <f>+'EJECUC(AMT)'!D53+'EJECUC(INT)'!D53</f>
        <v>129</v>
      </c>
      <c r="G53" s="26">
        <f>+'EJECUC(AMT)'!E53+'EJECUC(INT)'!E53</f>
        <v>4</v>
      </c>
      <c r="H53" s="57"/>
      <c r="I53" s="26">
        <f>+'EJECUC(AMT)'!F53+'EJECUC(INT)'!F53</f>
        <v>0</v>
      </c>
      <c r="J53" s="26"/>
      <c r="K53" s="26">
        <f>+'EJECUC(AMT)'!G53+'EJECUC(INT)'!G53</f>
        <v>42</v>
      </c>
      <c r="L53" s="42">
        <f>+'EJECUC(AMT)'!H53+'EJECUC(INT)'!H53</f>
        <v>12</v>
      </c>
      <c r="M53" s="26"/>
      <c r="N53" s="27">
        <f t="shared" si="0"/>
        <v>259</v>
      </c>
      <c r="O53" s="27"/>
    </row>
    <row r="54" spans="1:15" ht="6.75" customHeight="1">
      <c r="A54" s="34"/>
      <c r="B54" s="25"/>
      <c r="C54" s="26"/>
      <c r="D54" s="26"/>
      <c r="E54" s="26"/>
      <c r="F54" s="26"/>
      <c r="G54" s="26"/>
      <c r="H54" s="57"/>
      <c r="I54" s="26"/>
      <c r="J54" s="26"/>
      <c r="K54" s="26"/>
      <c r="L54" s="42"/>
      <c r="M54" s="26"/>
      <c r="N54" s="27"/>
      <c r="O54" s="27"/>
    </row>
    <row r="55" spans="1:15" ht="15.75">
      <c r="A55" s="34">
        <v>1991</v>
      </c>
      <c r="B55" s="25">
        <f>+'EJECUC(AMT)'!B55+'EJECUC(INT)'!B55</f>
        <v>728</v>
      </c>
      <c r="C55" s="63" t="s">
        <v>26</v>
      </c>
      <c r="D55" s="26">
        <f>+'EJECUC(AMT)'!C55+'EJECUC(INT)'!C55</f>
        <v>25</v>
      </c>
      <c r="E55" s="26"/>
      <c r="F55" s="26">
        <f>+'EJECUC(AMT)'!D55+'EJECUC(INT)'!D55</f>
        <v>139</v>
      </c>
      <c r="G55" s="26">
        <f>+'EJECUC(AMT)'!E55+'EJECUC(INT)'!E55</f>
        <v>2</v>
      </c>
      <c r="H55" s="57"/>
      <c r="I55" s="26">
        <f>+'EJECUC(AMT)'!F55+'EJECUC(INT)'!F55</f>
        <v>0</v>
      </c>
      <c r="J55" s="26"/>
      <c r="K55" s="26">
        <f>+'EJECUC(AMT)'!G55+'EJECUC(INT)'!G55</f>
        <v>8</v>
      </c>
      <c r="L55" s="42">
        <f>+'EJECUC(AMT)'!H55+'EJECUC(INT)'!H55</f>
        <v>11</v>
      </c>
      <c r="M55" s="26"/>
      <c r="N55" s="27">
        <f t="shared" si="0"/>
        <v>913</v>
      </c>
      <c r="O55" s="27"/>
    </row>
    <row r="56" spans="1:15" ht="6.75" customHeight="1">
      <c r="A56" s="34"/>
      <c r="B56" s="25"/>
      <c r="C56" s="57"/>
      <c r="D56" s="26"/>
      <c r="E56" s="26"/>
      <c r="F56" s="26"/>
      <c r="G56" s="26"/>
      <c r="H56" s="57"/>
      <c r="I56" s="26"/>
      <c r="J56" s="26"/>
      <c r="K56" s="26"/>
      <c r="L56" s="42"/>
      <c r="M56" s="26"/>
      <c r="N56" s="27"/>
      <c r="O56" s="27"/>
    </row>
    <row r="57" spans="1:15" ht="15.75">
      <c r="A57" s="34">
        <v>1992</v>
      </c>
      <c r="B57" s="25">
        <f>+'EJECUC(AMT)'!B57+'EJECUC(INT)'!B57</f>
        <v>372</v>
      </c>
      <c r="C57" s="58"/>
      <c r="D57" s="26">
        <f>+'EJECUC(AMT)'!C57+'EJECUC(INT)'!C57</f>
        <v>170</v>
      </c>
      <c r="E57" s="26"/>
      <c r="F57" s="26">
        <f>+'EJECUC(AMT)'!D57+'EJECUC(INT)'!D57</f>
        <v>136</v>
      </c>
      <c r="G57" s="26">
        <f>+'EJECUC(AMT)'!E57+'EJECUC(INT)'!E57</f>
        <v>8</v>
      </c>
      <c r="H57" s="57"/>
      <c r="I57" s="26">
        <f>+'EJECUC(AMT)'!F57+'EJECUC(INT)'!F57</f>
        <v>0</v>
      </c>
      <c r="J57" s="26"/>
      <c r="K57" s="26">
        <f>+'EJECUC(AMT)'!G57+'EJECUC(INT)'!G57</f>
        <v>4</v>
      </c>
      <c r="L57" s="42">
        <f>+'EJECUC(AMT)'!H57+'EJECUC(INT)'!H57</f>
        <v>9</v>
      </c>
      <c r="M57" s="26"/>
      <c r="N57" s="27">
        <f t="shared" si="0"/>
        <v>699</v>
      </c>
      <c r="O57" s="27"/>
    </row>
    <row r="58" spans="1:15" ht="6.75" customHeight="1">
      <c r="A58" s="34"/>
      <c r="B58" s="25"/>
      <c r="C58" s="58"/>
      <c r="D58" s="26"/>
      <c r="E58" s="26"/>
      <c r="F58" s="26"/>
      <c r="G58" s="26"/>
      <c r="H58" s="57"/>
      <c r="I58" s="26"/>
      <c r="J58" s="26"/>
      <c r="K58" s="26"/>
      <c r="L58" s="42"/>
      <c r="M58" s="26"/>
      <c r="N58" s="27"/>
      <c r="O58" s="27"/>
    </row>
    <row r="59" spans="1:15" ht="15.75">
      <c r="A59" s="34">
        <v>1993</v>
      </c>
      <c r="B59" s="25">
        <f>+'EJECUC(AMT)'!B59+'EJECUC(INT)'!B59</f>
        <v>1258</v>
      </c>
      <c r="C59" s="63" t="s">
        <v>27</v>
      </c>
      <c r="D59" s="26">
        <f>+'EJECUC(AMT)'!C59+'EJECUC(INT)'!C59</f>
        <v>328</v>
      </c>
      <c r="E59" s="26"/>
      <c r="F59" s="26">
        <f>+'EJECUC(AMT)'!D59+'EJECUC(INT)'!D59</f>
        <v>151</v>
      </c>
      <c r="G59" s="26">
        <f>+'EJECUC(AMT)'!E59+'EJECUC(INT)'!E59</f>
        <v>11</v>
      </c>
      <c r="H59" s="57"/>
      <c r="I59" s="26">
        <f>+'EJECUC(AMT)'!F59+'EJECUC(INT)'!F59</f>
        <v>0</v>
      </c>
      <c r="J59" s="26"/>
      <c r="K59" s="26">
        <f>+'EJECUC(AMT)'!G59+'EJECUC(INT)'!G59</f>
        <v>2</v>
      </c>
      <c r="L59" s="42">
        <f>+'EJECUC(AMT)'!H59+'EJECUC(INT)'!H59</f>
        <v>2.3</v>
      </c>
      <c r="M59" s="26"/>
      <c r="N59" s="27">
        <f t="shared" si="0"/>
        <v>1752.3</v>
      </c>
      <c r="O59" s="27"/>
    </row>
    <row r="60" spans="1:15" ht="6.75" customHeight="1">
      <c r="A60" s="34"/>
      <c r="B60" s="25"/>
      <c r="C60" s="57"/>
      <c r="D60" s="26"/>
      <c r="E60" s="26"/>
      <c r="F60" s="26"/>
      <c r="G60" s="26"/>
      <c r="H60" s="57"/>
      <c r="I60" s="26"/>
      <c r="J60" s="26"/>
      <c r="K60" s="26"/>
      <c r="L60" s="42"/>
      <c r="M60" s="26"/>
      <c r="N60" s="27"/>
      <c r="O60" s="27"/>
    </row>
    <row r="61" spans="1:15" ht="15.75">
      <c r="A61" s="34">
        <v>1994</v>
      </c>
      <c r="B61" s="25">
        <f>+'EJECUC(AMT)'!B61+'EJECUC(INT)'!B61</f>
        <v>414</v>
      </c>
      <c r="C61" s="58"/>
      <c r="D61" s="26">
        <f>+'EJECUC(AMT)'!C61+'EJECUC(INT)'!C61</f>
        <v>354</v>
      </c>
      <c r="E61" s="26"/>
      <c r="F61" s="26">
        <f>+'EJECUC(AMT)'!D61+'EJECUC(INT)'!D61</f>
        <v>129</v>
      </c>
      <c r="G61" s="26">
        <f>+'EJECUC(AMT)'!E61+'EJECUC(INT)'!E61</f>
        <v>11</v>
      </c>
      <c r="H61" s="57"/>
      <c r="I61" s="26">
        <f>+'EJECUC(AMT)'!F61+'EJECUC(INT)'!F61</f>
        <v>0</v>
      </c>
      <c r="J61" s="26"/>
      <c r="K61" s="26">
        <f>+'EJECUC(AMT)'!G61+'EJECUC(INT)'!G61</f>
        <v>37</v>
      </c>
      <c r="L61" s="42">
        <f>+'EJECUC(AMT)'!H61+'EJECUC(INT)'!H61</f>
        <v>0</v>
      </c>
      <c r="M61" s="26"/>
      <c r="N61" s="27">
        <f t="shared" si="0"/>
        <v>945</v>
      </c>
      <c r="O61" s="27"/>
    </row>
    <row r="62" spans="1:15" ht="6.75" customHeight="1">
      <c r="A62" s="34"/>
      <c r="B62" s="25"/>
      <c r="C62" s="58"/>
      <c r="D62" s="26"/>
      <c r="E62" s="26"/>
      <c r="F62" s="26"/>
      <c r="G62" s="26"/>
      <c r="H62" s="57"/>
      <c r="I62" s="26"/>
      <c r="J62" s="26"/>
      <c r="K62" s="26"/>
      <c r="L62" s="42"/>
      <c r="M62" s="26"/>
      <c r="N62" s="27"/>
      <c r="O62" s="27"/>
    </row>
    <row r="63" spans="1:15" ht="15.75">
      <c r="A63" s="34">
        <v>1995</v>
      </c>
      <c r="B63" s="25">
        <f>+'EJECUC(AMT)'!B63+'EJECUC(INT)'!B63</f>
        <v>463</v>
      </c>
      <c r="C63" s="58"/>
      <c r="D63" s="26">
        <f>+'EJECUC(AMT)'!C63+'EJECUC(INT)'!C63</f>
        <v>400</v>
      </c>
      <c r="E63" s="26"/>
      <c r="F63" s="26">
        <f>+'EJECUC(AMT)'!D63+'EJECUC(INT)'!D63</f>
        <v>114</v>
      </c>
      <c r="G63" s="26">
        <f>+'EJECUC(AMT)'!E63+'EJECUC(INT)'!E63</f>
        <v>34</v>
      </c>
      <c r="H63" s="57"/>
      <c r="I63" s="26">
        <f>+'EJECUC(AMT)'!F63+'EJECUC(INT)'!F63</f>
        <v>0</v>
      </c>
      <c r="J63" s="26"/>
      <c r="K63" s="26">
        <f>+'EJECUC(AMT)'!G63+'EJECUC(INT)'!G63</f>
        <v>60</v>
      </c>
      <c r="L63" s="42">
        <f>+'EJECUC(AMT)'!H63+'EJECUC(INT)'!H63</f>
        <v>4</v>
      </c>
      <c r="M63" s="26"/>
      <c r="N63" s="27">
        <f t="shared" si="0"/>
        <v>1075</v>
      </c>
      <c r="O63" s="27"/>
    </row>
    <row r="64" spans="1:15" ht="6.75" customHeight="1">
      <c r="A64" s="34"/>
      <c r="B64" s="25"/>
      <c r="C64" s="58"/>
      <c r="D64" s="26"/>
      <c r="E64" s="26"/>
      <c r="F64" s="26"/>
      <c r="G64" s="26"/>
      <c r="H64" s="57"/>
      <c r="I64" s="26"/>
      <c r="J64" s="26"/>
      <c r="K64" s="26"/>
      <c r="L64" s="42"/>
      <c r="M64" s="26"/>
      <c r="N64" s="27"/>
      <c r="O64" s="27"/>
    </row>
    <row r="65" spans="1:15" ht="15.75">
      <c r="A65" s="34">
        <v>1996</v>
      </c>
      <c r="B65" s="25">
        <f>+'EJECUC(AMT)'!B65+'EJECUC(INT)'!B65</f>
        <v>459</v>
      </c>
      <c r="C65" s="58"/>
      <c r="D65" s="26">
        <f>+'EJECUC(AMT)'!C65+'EJECUC(INT)'!C65</f>
        <v>509</v>
      </c>
      <c r="E65" s="26"/>
      <c r="F65" s="26">
        <f>+'EJECUC(AMT)'!D65+'EJECUC(INT)'!D65</f>
        <v>103</v>
      </c>
      <c r="G65" s="26">
        <f>+'EJECUC(AMT)'!E65+'EJECUC(INT)'!E65</f>
        <v>92</v>
      </c>
      <c r="H65" s="57"/>
      <c r="I65" s="26">
        <f>+'EJECUC(AMT)'!F65+'EJECUC(INT)'!F65</f>
        <v>0</v>
      </c>
      <c r="J65" s="26"/>
      <c r="K65" s="26">
        <f>+'EJECUC(AMT)'!G65+'EJECUC(INT)'!G65</f>
        <v>26</v>
      </c>
      <c r="L65" s="42">
        <f>+'EJECUC(AMT)'!H65+'EJECUC(INT)'!H65</f>
        <v>24</v>
      </c>
      <c r="M65" s="26"/>
      <c r="N65" s="27">
        <f t="shared" si="0"/>
        <v>1213</v>
      </c>
      <c r="O65" s="27"/>
    </row>
    <row r="66" spans="1:15" ht="6.75" customHeight="1">
      <c r="A66" s="34"/>
      <c r="B66" s="25"/>
      <c r="C66" s="58"/>
      <c r="D66" s="26"/>
      <c r="E66" s="26"/>
      <c r="F66" s="26"/>
      <c r="G66" s="26"/>
      <c r="H66" s="57"/>
      <c r="I66" s="26"/>
      <c r="J66" s="26"/>
      <c r="K66" s="26"/>
      <c r="L66" s="42"/>
      <c r="M66" s="26"/>
      <c r="N66" s="27"/>
      <c r="O66" s="27"/>
    </row>
    <row r="67" spans="1:16" ht="15.75">
      <c r="A67" s="34">
        <v>1997</v>
      </c>
      <c r="B67" s="25">
        <f>+'EJECUC(AMT)'!B67+'EJECUC(INT)'!B67</f>
        <v>593.677</v>
      </c>
      <c r="C67" s="58"/>
      <c r="D67" s="26">
        <f>+'EJECUC(AMT)'!C67+'EJECUC(INT)'!C67</f>
        <v>544.501</v>
      </c>
      <c r="E67" s="26"/>
      <c r="F67" s="26">
        <f>+'EJECUC(AMT)'!D67+'EJECUC(INT)'!D67</f>
        <v>96.444</v>
      </c>
      <c r="G67" s="26">
        <f>+'EJECUC(AMT)'!E67+'EJECUC(INT)'!E67</f>
        <v>1194</v>
      </c>
      <c r="H67" s="63" t="s">
        <v>30</v>
      </c>
      <c r="I67" s="26">
        <f>+'EJECUC(AMT)'!F67+'EJECUC(INT)'!F67</f>
        <v>79.418</v>
      </c>
      <c r="J67" s="26"/>
      <c r="K67" s="26">
        <f>+'EJECUC(AMT)'!G67+'EJECUC(INT)'!G67</f>
        <v>153.71200000000002</v>
      </c>
      <c r="L67" s="42">
        <f>+'EJECUC(AMT)'!H67+'EJECUC(INT)'!H67</f>
        <v>43.064</v>
      </c>
      <c r="M67" s="26"/>
      <c r="N67" s="27">
        <f t="shared" si="0"/>
        <v>2704.816</v>
      </c>
      <c r="O67" s="27"/>
      <c r="P67" s="35"/>
    </row>
    <row r="68" spans="1:16" ht="6.75" customHeight="1">
      <c r="A68" s="34"/>
      <c r="B68" s="25"/>
      <c r="C68" s="58"/>
      <c r="D68" s="26"/>
      <c r="E68" s="26"/>
      <c r="F68" s="26"/>
      <c r="G68" s="26"/>
      <c r="H68" s="56"/>
      <c r="I68" s="26"/>
      <c r="J68" s="26"/>
      <c r="K68" s="26"/>
      <c r="L68" s="42"/>
      <c r="M68" s="26"/>
      <c r="N68" s="27"/>
      <c r="O68" s="27"/>
      <c r="P68" s="35"/>
    </row>
    <row r="69" spans="1:17" ht="15.75">
      <c r="A69" s="34">
        <v>1998</v>
      </c>
      <c r="B69" s="25">
        <f>+'EJECUC(AMT)'!B69+'EJECUC(INT)'!B69</f>
        <v>552.361</v>
      </c>
      <c r="C69" s="58"/>
      <c r="D69" s="26">
        <f>+'EJECUC(AMT)'!C69+'EJECUC(INT)'!C69</f>
        <v>616.918</v>
      </c>
      <c r="E69" s="26"/>
      <c r="F69" s="26">
        <f>+'EJECUC(AMT)'!D69+'EJECUC(INT)'!D69</f>
        <v>79.25200000000001</v>
      </c>
      <c r="G69" s="26">
        <f>+'EJECUC(AMT)'!E69+'EJECUC(INT)'!E69</f>
        <v>26.032</v>
      </c>
      <c r="H69" s="56"/>
      <c r="I69" s="26">
        <f>+'EJECUC(AMT)'!F69+'EJECUC(INT)'!F69</f>
        <v>159.008</v>
      </c>
      <c r="J69" s="26"/>
      <c r="K69" s="26">
        <f>+'EJECUC(AMT)'!G69+'EJECUC(INT)'!G69</f>
        <v>29.645</v>
      </c>
      <c r="L69" s="42">
        <f>+'EJECUC(AMT)'!H69+'EJECUC(INT)'!H69</f>
        <v>56.702</v>
      </c>
      <c r="M69" s="26"/>
      <c r="N69" s="27">
        <f t="shared" si="0"/>
        <v>1519.918</v>
      </c>
      <c r="O69" s="27"/>
      <c r="P69" s="35"/>
      <c r="Q69" s="35"/>
    </row>
    <row r="70" spans="1:17" ht="6.75" customHeight="1">
      <c r="A70" s="34"/>
      <c r="B70" s="25"/>
      <c r="C70" s="58"/>
      <c r="D70" s="26"/>
      <c r="E70" s="26"/>
      <c r="F70" s="26"/>
      <c r="G70" s="26"/>
      <c r="H70" s="56"/>
      <c r="I70" s="26"/>
      <c r="J70" s="26"/>
      <c r="K70" s="26"/>
      <c r="L70" s="42"/>
      <c r="M70" s="26"/>
      <c r="N70" s="27"/>
      <c r="O70" s="27"/>
      <c r="P70" s="35"/>
      <c r="Q70" s="35"/>
    </row>
    <row r="71" spans="1:16" ht="15.75">
      <c r="A71" s="34">
        <v>1999</v>
      </c>
      <c r="B71" s="25">
        <f>+'EJECUC(AMT)'!B71+'EJECUC(INT)'!B71</f>
        <v>623.796</v>
      </c>
      <c r="C71" s="58"/>
      <c r="D71" s="26">
        <f>+'EJECUC(AMT)'!C71+'EJECUC(INT)'!C71</f>
        <v>711.219</v>
      </c>
      <c r="E71" s="26"/>
      <c r="F71" s="26">
        <f>+'EJECUC(AMT)'!D71+'EJECUC(INT)'!D71</f>
        <v>71.024</v>
      </c>
      <c r="G71" s="26">
        <f>+'EJECUC(AMT)'!E71+'EJECUC(INT)'!E71</f>
        <v>65.223</v>
      </c>
      <c r="H71" s="56"/>
      <c r="I71" s="26">
        <f>+'EJECUC(AMT)'!F71+'EJECUC(INT)'!F71</f>
        <v>166.842</v>
      </c>
      <c r="J71" s="26"/>
      <c r="K71" s="26">
        <f>+'EJECUC(AMT)'!G71+'EJECUC(INT)'!G71</f>
        <v>25.6965</v>
      </c>
      <c r="L71" s="42">
        <f>+'EJECUC(AMT)'!H71+'EJECUC(INT)'!H71</f>
        <v>64.676</v>
      </c>
      <c r="M71" s="26"/>
      <c r="N71" s="27">
        <f t="shared" si="0"/>
        <v>1728.4765000000002</v>
      </c>
      <c r="O71" s="27"/>
      <c r="P71" s="35"/>
    </row>
    <row r="72" spans="1:16" ht="6.75" customHeight="1">
      <c r="A72" s="34"/>
      <c r="B72" s="25"/>
      <c r="C72" s="58"/>
      <c r="D72" s="26"/>
      <c r="E72" s="26"/>
      <c r="F72" s="26"/>
      <c r="G72" s="26"/>
      <c r="H72" s="56"/>
      <c r="I72" s="26"/>
      <c r="J72" s="26"/>
      <c r="K72" s="26"/>
      <c r="L72" s="42"/>
      <c r="M72" s="26"/>
      <c r="N72" s="27"/>
      <c r="O72" s="27"/>
      <c r="P72" s="35"/>
    </row>
    <row r="73" spans="1:16" ht="15.75">
      <c r="A73" s="34">
        <v>2000</v>
      </c>
      <c r="B73" s="25">
        <f>+'EJECUC(AMT)'!B73+'EJECUC(INT)'!B73</f>
        <v>937.627361</v>
      </c>
      <c r="C73" s="63" t="s">
        <v>32</v>
      </c>
      <c r="D73" s="26">
        <f>+'EJECUC(AMT)'!C73+'EJECUC(INT)'!C73</f>
        <v>769.847446</v>
      </c>
      <c r="E73" s="26"/>
      <c r="F73" s="26">
        <f>+'EJECUC(AMT)'!D73+'EJECUC(INT)'!D73</f>
        <v>42.75</v>
      </c>
      <c r="G73" s="26">
        <f>+'EJECUC(AMT)'!E73+'EJECUC(INT)'!E73</f>
        <v>182.415</v>
      </c>
      <c r="H73" s="63" t="s">
        <v>34</v>
      </c>
      <c r="I73" s="26">
        <f>+'EJECUC(AMT)'!F73+'EJECUC(INT)'!F73</f>
        <v>159.558</v>
      </c>
      <c r="J73" s="26"/>
      <c r="K73" s="26">
        <f>+'EJECUC(AMT)'!G73+'EJECUC(INT)'!G73</f>
        <v>15.862</v>
      </c>
      <c r="L73" s="42">
        <f>+'EJECUC(AMT)'!H73+'EJECUC(INT)'!H73</f>
        <v>66.524202</v>
      </c>
      <c r="M73" s="26"/>
      <c r="N73" s="27">
        <f t="shared" si="0"/>
        <v>2174.584009</v>
      </c>
      <c r="O73" s="27"/>
      <c r="P73" s="35"/>
    </row>
    <row r="74" spans="1:16" ht="6.75" customHeight="1">
      <c r="A74" s="34"/>
      <c r="B74" s="25"/>
      <c r="C74" s="56"/>
      <c r="D74" s="26"/>
      <c r="E74" s="26"/>
      <c r="F74" s="26"/>
      <c r="G74" s="26"/>
      <c r="H74" s="56"/>
      <c r="I74" s="26"/>
      <c r="J74" s="26"/>
      <c r="K74" s="26"/>
      <c r="L74" s="42"/>
      <c r="M74" s="26"/>
      <c r="N74" s="27"/>
      <c r="O74" s="27"/>
      <c r="P74" s="35"/>
    </row>
    <row r="75" spans="1:16" ht="15.75">
      <c r="A75" s="34">
        <v>2001</v>
      </c>
      <c r="B75" s="25">
        <f>+'EJECUC(AMT)'!B75+'EJECUC(INT)'!B75</f>
        <v>757.548</v>
      </c>
      <c r="C75" s="63" t="s">
        <v>36</v>
      </c>
      <c r="D75" s="26">
        <f>+'EJECUC(AMT)'!C75+'EJECUC(INT)'!C75</f>
        <v>847.083</v>
      </c>
      <c r="E75" s="63" t="s">
        <v>37</v>
      </c>
      <c r="F75" s="26">
        <f>+'EJECUC(AMT)'!D75+'EJECUC(INT)'!D75</f>
        <v>23.964000000000002</v>
      </c>
      <c r="G75" s="26">
        <f>+'EJECUC(AMT)'!E75+'EJECUC(INT)'!E75</f>
        <v>90.27199999999999</v>
      </c>
      <c r="H75" s="63" t="s">
        <v>38</v>
      </c>
      <c r="I75" s="26">
        <f>+'EJECUC(AMT)'!F75+'EJECUC(INT)'!F75</f>
        <v>160.497</v>
      </c>
      <c r="J75" s="26"/>
      <c r="K75" s="26">
        <f>+'EJECUC(AMT)'!G75+'EJECUC(INT)'!G75</f>
        <v>18.728</v>
      </c>
      <c r="L75" s="42">
        <f>+'EJECUC(AMT)'!H75+'EJECUC(INT)'!H75</f>
        <v>62.17100000000001</v>
      </c>
      <c r="M75" s="63" t="s">
        <v>39</v>
      </c>
      <c r="N75" s="27">
        <f>SUM(B75:L75)</f>
        <v>1960.263</v>
      </c>
      <c r="O75" s="27"/>
      <c r="P75" s="35"/>
    </row>
    <row r="76" spans="1:16" ht="6.75" customHeight="1">
      <c r="A76" s="34"/>
      <c r="B76" s="25"/>
      <c r="C76" s="56"/>
      <c r="D76" s="26"/>
      <c r="E76" s="56"/>
      <c r="F76" s="26"/>
      <c r="G76" s="26"/>
      <c r="H76" s="56"/>
      <c r="I76" s="26"/>
      <c r="J76" s="26"/>
      <c r="K76" s="26"/>
      <c r="L76" s="42"/>
      <c r="M76" s="57"/>
      <c r="N76" s="27"/>
      <c r="O76" s="27"/>
      <c r="P76" s="35"/>
    </row>
    <row r="77" spans="1:16" ht="15.75">
      <c r="A77" s="34">
        <v>2002</v>
      </c>
      <c r="B77" s="25">
        <f>+'EJECUC(AMT)'!B77+'EJECUC(INT)'!B77</f>
        <v>778.63</v>
      </c>
      <c r="C77" s="63" t="s">
        <v>44</v>
      </c>
      <c r="D77" s="26">
        <f>+'EJECUC(AMT)'!C77+'EJECUC(INT)'!C77</f>
        <v>839.6869999999999</v>
      </c>
      <c r="E77" s="63" t="s">
        <v>40</v>
      </c>
      <c r="F77" s="26">
        <f>+'EJECUC(AMT)'!D77+'EJECUC(INT)'!D77</f>
        <v>19.204</v>
      </c>
      <c r="G77" s="26">
        <f>+'EJECUC(AMT)'!E77+'EJECUC(INT)'!E77</f>
        <v>17.503999999999994</v>
      </c>
      <c r="H77" s="63" t="s">
        <v>45</v>
      </c>
      <c r="I77" s="26">
        <f>+'EJECUC(AMT)'!F77+'EJECUC(INT)'!F77</f>
        <v>217.84199999999998</v>
      </c>
      <c r="J77" s="63" t="s">
        <v>46</v>
      </c>
      <c r="K77" s="26">
        <f>+'EJECUC(AMT)'!G77+'EJECUC(INT)'!G77</f>
        <v>10.408000000000001</v>
      </c>
      <c r="L77" s="42">
        <f>+'EJECUC(AMT)'!H77+'EJECUC(INT)'!H77</f>
        <v>54.994</v>
      </c>
      <c r="M77" s="57"/>
      <c r="N77" s="27">
        <f>SUM(B77:L77)</f>
        <v>1938.2689999999996</v>
      </c>
      <c r="O77" s="27"/>
      <c r="P77" s="35"/>
    </row>
    <row r="78" spans="1:16" ht="6.75" customHeight="1">
      <c r="A78" s="34"/>
      <c r="B78" s="25"/>
      <c r="C78" s="56"/>
      <c r="D78" s="26"/>
      <c r="E78" s="56"/>
      <c r="F78" s="26"/>
      <c r="G78" s="26"/>
      <c r="H78" s="56"/>
      <c r="I78" s="26"/>
      <c r="J78" s="26"/>
      <c r="K78" s="26"/>
      <c r="L78" s="42"/>
      <c r="M78" s="57"/>
      <c r="N78" s="27"/>
      <c r="O78" s="27"/>
      <c r="P78" s="35"/>
    </row>
    <row r="79" spans="1:16" ht="15.75">
      <c r="A79" s="34">
        <v>2003</v>
      </c>
      <c r="B79" s="25">
        <f>+'EJECUC(AMT)'!B79+'EJECUC(INT)'!B79</f>
        <v>831.344</v>
      </c>
      <c r="C79" s="54"/>
      <c r="D79" s="26">
        <f>+'EJECUC(AMT)'!C79+'EJECUC(INT)'!C79</f>
        <v>983.493</v>
      </c>
      <c r="E79" s="56"/>
      <c r="F79" s="26">
        <f>+'EJECUC(AMT)'!D79+'EJECUC(INT)'!D79</f>
        <v>15.169</v>
      </c>
      <c r="G79" s="26">
        <f>+'EJECUC(AMT)'!E79+'EJECUC(INT)'!E79</f>
        <v>6.632</v>
      </c>
      <c r="H79" s="54"/>
      <c r="I79" s="26">
        <f>+'EJECUC(AMT)'!F79+'EJECUC(INT)'!F79</f>
        <v>350.951</v>
      </c>
      <c r="J79" s="26"/>
      <c r="K79" s="26">
        <f>+'EJECUC(AMT)'!G79+'EJECUC(INT)'!G79</f>
        <v>10.353</v>
      </c>
      <c r="L79" s="42">
        <f>+'EJECUC(AMT)'!H79+'EJECUC(INT)'!H79</f>
        <v>57.294</v>
      </c>
      <c r="M79" s="57"/>
      <c r="N79" s="27">
        <f>SUM(B79:L79)</f>
        <v>2255.236</v>
      </c>
      <c r="O79" s="27"/>
      <c r="P79" s="35"/>
    </row>
    <row r="80" spans="1:16" ht="6.75" customHeight="1">
      <c r="A80" s="34"/>
      <c r="B80" s="25"/>
      <c r="C80" s="54"/>
      <c r="D80" s="26"/>
      <c r="E80" s="56"/>
      <c r="F80" s="26"/>
      <c r="G80" s="26"/>
      <c r="H80" s="54"/>
      <c r="I80" s="26"/>
      <c r="J80" s="26"/>
      <c r="K80" s="26"/>
      <c r="L80" s="42"/>
      <c r="M80" s="57"/>
      <c r="N80" s="27"/>
      <c r="O80" s="27"/>
      <c r="P80" s="35"/>
    </row>
    <row r="81" spans="1:16" ht="15.75">
      <c r="A81" s="34">
        <v>2004</v>
      </c>
      <c r="B81" s="25">
        <f>+'EJECUC(AMT)'!B81+'EJECUC(INT)'!B81</f>
        <v>874.6590000000001</v>
      </c>
      <c r="C81" s="54"/>
      <c r="D81" s="26">
        <f>+'EJECUC(AMT)'!C81+'EJECUC(INT)'!C81</f>
        <v>1075.783</v>
      </c>
      <c r="E81" s="63" t="s">
        <v>47</v>
      </c>
      <c r="F81" s="26">
        <f>+'EJECUC(AMT)'!D81+'EJECUC(INT)'!D81</f>
        <v>11.030999999999999</v>
      </c>
      <c r="G81" s="26">
        <f>+'EJECUC(AMT)'!E81+'EJECUC(INT)'!E81</f>
        <v>1.66</v>
      </c>
      <c r="H81" s="54"/>
      <c r="I81" s="26">
        <f>+'EJECUC(AMT)'!F81+'EJECUC(INT)'!F81</f>
        <v>495.01300000000003</v>
      </c>
      <c r="J81" s="26"/>
      <c r="K81" s="26">
        <f>+'EJECUC(AMT)'!G81+'EJECUC(INT)'!G81</f>
        <v>10.26</v>
      </c>
      <c r="L81" s="42">
        <f>+'EJECUC(AMT)'!H81+'EJECUC(INT)'!H81</f>
        <v>60.967</v>
      </c>
      <c r="M81" s="57"/>
      <c r="N81" s="27">
        <f>SUM(B81:L81)</f>
        <v>2529.3730000000005</v>
      </c>
      <c r="O81" s="27"/>
      <c r="P81" s="35"/>
    </row>
    <row r="82" spans="1:16" ht="6.75" customHeight="1">
      <c r="A82" s="34"/>
      <c r="B82" s="25"/>
      <c r="C82" s="54"/>
      <c r="D82" s="26"/>
      <c r="E82" s="56"/>
      <c r="F82" s="26"/>
      <c r="G82" s="26"/>
      <c r="H82" s="54"/>
      <c r="I82" s="26"/>
      <c r="J82" s="26"/>
      <c r="K82" s="26"/>
      <c r="L82" s="42"/>
      <c r="M82" s="57"/>
      <c r="N82" s="27"/>
      <c r="O82" s="27"/>
      <c r="P82" s="35"/>
    </row>
    <row r="83" spans="1:16" ht="15.75">
      <c r="A83" s="34">
        <v>2005</v>
      </c>
      <c r="B83" s="25">
        <f>+'EJECUC(AMT)'!B83+'EJECUC(INT)'!B83</f>
        <v>958.64</v>
      </c>
      <c r="C83" s="54"/>
      <c r="D83" s="26">
        <f>+'EJECUC(AMT)'!C83+'EJECUC(INT)'!C83</f>
        <v>2467.463</v>
      </c>
      <c r="E83" s="63" t="s">
        <v>57</v>
      </c>
      <c r="F83" s="26">
        <f>+'EJECUC(AMT)'!D83+'EJECUC(INT)'!D83</f>
        <v>8.270999999999999</v>
      </c>
      <c r="G83" s="26">
        <f>+'EJECUC(AMT)'!E83+'EJECUC(INT)'!E83</f>
        <v>3.448</v>
      </c>
      <c r="H83" s="54"/>
      <c r="I83" s="26">
        <f>+'EJECUC(AMT)'!F83+'EJECUC(INT)'!F83</f>
        <v>643.1080000000001</v>
      </c>
      <c r="J83" s="26"/>
      <c r="K83" s="26">
        <f>+'EJECUC(AMT)'!G83+'EJECUC(INT)'!G83</f>
        <v>7.277</v>
      </c>
      <c r="L83" s="42">
        <f>+'EJECUC(AMT)'!H83+'EJECUC(INT)'!H83</f>
        <v>821.811</v>
      </c>
      <c r="M83" s="63" t="s">
        <v>58</v>
      </c>
      <c r="N83" s="27">
        <f>SUM(B83:L83)</f>
        <v>4910.018</v>
      </c>
      <c r="O83" s="27"/>
      <c r="P83" s="35"/>
    </row>
    <row r="84" spans="1:16" ht="6.75" customHeight="1">
      <c r="A84" s="34"/>
      <c r="B84" s="25"/>
      <c r="C84" s="54"/>
      <c r="D84" s="26"/>
      <c r="E84" s="56"/>
      <c r="F84" s="26"/>
      <c r="G84" s="26"/>
      <c r="H84" s="54"/>
      <c r="I84" s="26"/>
      <c r="J84" s="26"/>
      <c r="K84" s="26"/>
      <c r="L84" s="42"/>
      <c r="M84" s="56"/>
      <c r="N84" s="27"/>
      <c r="O84" s="27"/>
      <c r="P84" s="35"/>
    </row>
    <row r="85" spans="1:16" ht="15.75">
      <c r="A85" s="34">
        <v>2006</v>
      </c>
      <c r="B85" s="25">
        <f>+'EJECUC(AMT)'!B85+'EJECUC(INT)'!B85</f>
        <v>1083.675</v>
      </c>
      <c r="C85" s="54"/>
      <c r="D85" s="26">
        <f>+'EJECUC(AMT)'!C85+'EJECUC(INT)'!C85</f>
        <v>603.362</v>
      </c>
      <c r="E85" s="63"/>
      <c r="F85" s="26">
        <f>+'EJECUC(AMT)'!D85+'EJECUC(INT)'!D85</f>
        <v>9.877</v>
      </c>
      <c r="G85" s="26">
        <f>+'EJECUC(AMT)'!E85+'EJECUC(INT)'!E85</f>
        <v>0</v>
      </c>
      <c r="H85" s="54"/>
      <c r="I85" s="26">
        <f>+'EJECUC(AMT)'!F85+'EJECUC(INT)'!F85</f>
        <v>734.7900000000001</v>
      </c>
      <c r="J85" s="26"/>
      <c r="K85" s="26">
        <f>+'EJECUC(AMT)'!G85+'EJECUC(INT)'!G85</f>
        <v>7.486</v>
      </c>
      <c r="L85" s="42">
        <f>+'EJECUC(AMT)'!H85+'EJECUC(INT)'!H85</f>
        <v>97.194</v>
      </c>
      <c r="M85" s="63" t="s">
        <v>48</v>
      </c>
      <c r="N85" s="27">
        <f>SUM(B85:L85)</f>
        <v>2536.3839999999996</v>
      </c>
      <c r="O85" s="27"/>
      <c r="P85" s="35"/>
    </row>
    <row r="86" spans="1:16" ht="6.75" customHeight="1">
      <c r="A86" s="34"/>
      <c r="B86" s="25"/>
      <c r="C86" s="54"/>
      <c r="D86" s="26"/>
      <c r="E86" s="63"/>
      <c r="F86" s="26"/>
      <c r="G86" s="26"/>
      <c r="H86" s="54"/>
      <c r="I86" s="26"/>
      <c r="J86" s="26"/>
      <c r="K86" s="26"/>
      <c r="L86" s="42"/>
      <c r="M86" s="63"/>
      <c r="N86" s="27"/>
      <c r="O86" s="27"/>
      <c r="P86" s="35"/>
    </row>
    <row r="87" spans="1:16" ht="15.75">
      <c r="A87" s="34">
        <v>2007</v>
      </c>
      <c r="B87" s="25">
        <f>+'EJECUC(AMT)'!B87+'EJECUC(INT)'!B87</f>
        <v>1453.6921118299997</v>
      </c>
      <c r="C87" s="63" t="s">
        <v>72</v>
      </c>
      <c r="D87" s="26">
        <f>+'EJECUC(AMT)'!C87+'EJECUC(INT)'!C87</f>
        <v>2356.1250634800003</v>
      </c>
      <c r="E87" s="63" t="s">
        <v>73</v>
      </c>
      <c r="F87" s="26">
        <f>+'EJECUC(AMT)'!D87+'EJECUC(INT)'!D87</f>
        <v>6.36473</v>
      </c>
      <c r="G87" s="26">
        <f>+'EJECUC(AMT)'!E87+'EJECUC(INT)'!E87</f>
        <v>0</v>
      </c>
      <c r="H87" s="54"/>
      <c r="I87" s="26">
        <f>+'EJECUC(AMT)'!F87+'EJECUC(INT)'!F87</f>
        <v>3049.5681353699993</v>
      </c>
      <c r="J87" s="63" t="s">
        <v>66</v>
      </c>
      <c r="K87" s="26">
        <f>+'EJECUC(AMT)'!G87+'EJECUC(INT)'!G87</f>
        <v>4.0515512199999995</v>
      </c>
      <c r="L87" s="42">
        <f>+'EJECUC(AMT)'!H87+'EJECUC(INT)'!H87</f>
        <v>6.4891896</v>
      </c>
      <c r="M87" s="63"/>
      <c r="N87" s="27">
        <f>SUM(B87:L87)</f>
        <v>6876.290781499999</v>
      </c>
      <c r="O87" s="27"/>
      <c r="P87" s="35"/>
    </row>
    <row r="88" spans="1:16" ht="6.75" customHeight="1">
      <c r="A88" s="34"/>
      <c r="B88" s="25"/>
      <c r="C88" s="54"/>
      <c r="D88" s="26"/>
      <c r="E88" s="63"/>
      <c r="F88" s="26"/>
      <c r="G88" s="26"/>
      <c r="H88" s="54"/>
      <c r="I88" s="26"/>
      <c r="J88" s="26"/>
      <c r="K88" s="26"/>
      <c r="L88" s="42"/>
      <c r="M88" s="63"/>
      <c r="N88" s="27"/>
      <c r="O88" s="27"/>
      <c r="P88" s="35"/>
    </row>
    <row r="89" spans="1:16" ht="15.75">
      <c r="A89" s="34">
        <v>2008</v>
      </c>
      <c r="B89" s="25">
        <f>+'EJECUC(AMT)'!B89+'EJECUC(INT)'!B89</f>
        <v>1366.14683097</v>
      </c>
      <c r="C89" s="63" t="s">
        <v>67</v>
      </c>
      <c r="D89" s="26">
        <f>+'EJECUC(AMT)'!C89+'EJECUC(INT)'!C89</f>
        <v>416.17903429999996</v>
      </c>
      <c r="E89" s="63"/>
      <c r="F89" s="26">
        <f>+'EJECUC(AMT)'!D89+'EJECUC(INT)'!D89</f>
        <v>5.854271659999999</v>
      </c>
      <c r="G89" s="26">
        <f>+'EJECUC(AMT)'!E89+'EJECUC(INT)'!E89</f>
        <v>3.66522413</v>
      </c>
      <c r="H89" s="54"/>
      <c r="I89" s="26">
        <f>+'EJECUC(AMT)'!F89+'EJECUC(INT)'!F89</f>
        <v>1936.7412020299998</v>
      </c>
      <c r="J89" s="63" t="s">
        <v>49</v>
      </c>
      <c r="K89" s="26">
        <f>+'EJECUC(AMT)'!G89+'EJECUC(INT)'!G89</f>
        <v>1.6767968</v>
      </c>
      <c r="L89" s="42">
        <f>+'EJECUC(AMT)'!H89+'EJECUC(INT)'!H89</f>
        <v>5.909309959999999</v>
      </c>
      <c r="M89" s="63"/>
      <c r="N89" s="27">
        <f>SUM(B89:L89)</f>
        <v>3736.1726698499997</v>
      </c>
      <c r="O89" s="27"/>
      <c r="P89" s="35"/>
    </row>
    <row r="90" spans="1:16" ht="6.75" customHeight="1">
      <c r="A90" s="34"/>
      <c r="B90" s="25"/>
      <c r="C90" s="54"/>
      <c r="D90" s="26"/>
      <c r="E90" s="63"/>
      <c r="F90" s="26"/>
      <c r="G90" s="26"/>
      <c r="H90" s="54"/>
      <c r="I90" s="26"/>
      <c r="J90" s="26"/>
      <c r="K90" s="26"/>
      <c r="L90" s="42"/>
      <c r="M90" s="63"/>
      <c r="N90" s="27"/>
      <c r="O90" s="27"/>
      <c r="P90" s="35"/>
    </row>
    <row r="91" spans="1:16" ht="15.75">
      <c r="A91" s="34">
        <v>2009</v>
      </c>
      <c r="B91" s="25">
        <f>+'EJECUC(AMT)'!B91+'EJECUC(INT)'!B91</f>
        <v>972.23362566</v>
      </c>
      <c r="C91" s="63"/>
      <c r="D91" s="26">
        <f>+'EJECUC(AMT)'!C91+'EJECUC(INT)'!C91</f>
        <v>1300.8022567199996</v>
      </c>
      <c r="E91" s="63" t="s">
        <v>74</v>
      </c>
      <c r="F91" s="26">
        <f>+'EJECUC(AMT)'!D91+'EJECUC(INT)'!D91</f>
        <v>5.27202319</v>
      </c>
      <c r="G91" s="26">
        <f>+'EJECUC(AMT)'!E91+'EJECUC(INT)'!E91</f>
        <v>5.76627656</v>
      </c>
      <c r="H91" s="54"/>
      <c r="I91" s="26">
        <f>+'EJECUC(AMT)'!F91+'EJECUC(INT)'!F91</f>
        <v>630.7041708300001</v>
      </c>
      <c r="J91" s="63"/>
      <c r="K91" s="26">
        <f>+'EJECUC(AMT)'!G91+'EJECUC(INT)'!G91</f>
        <v>1.6299788</v>
      </c>
      <c r="L91" s="42">
        <f>+'EJECUC(AMT)'!H91+'EJECUC(INT)'!H91</f>
        <v>5.659259129999999</v>
      </c>
      <c r="M91" s="63"/>
      <c r="N91" s="27">
        <f>SUM(B91:L91)</f>
        <v>2922.0675908899993</v>
      </c>
      <c r="O91" s="27"/>
      <c r="P91" s="35"/>
    </row>
    <row r="92" spans="1:16" ht="6.75" customHeight="1">
      <c r="A92" s="34"/>
      <c r="B92" s="25"/>
      <c r="C92" s="63"/>
      <c r="D92" s="26"/>
      <c r="E92" s="63"/>
      <c r="F92" s="26"/>
      <c r="G92" s="26"/>
      <c r="H92" s="54"/>
      <c r="I92" s="26"/>
      <c r="J92" s="63"/>
      <c r="K92" s="26"/>
      <c r="L92" s="42"/>
      <c r="M92" s="63"/>
      <c r="N92" s="27"/>
      <c r="O92" s="27"/>
      <c r="P92" s="35"/>
    </row>
    <row r="93" spans="1:16" ht="15.75">
      <c r="A93" s="34">
        <v>2010</v>
      </c>
      <c r="B93" s="25">
        <f>+'EJECUC(AMT)'!B93+'EJECUC(INT)'!B93</f>
        <v>2128.84069625</v>
      </c>
      <c r="C93" s="63" t="s">
        <v>69</v>
      </c>
      <c r="D93" s="26">
        <f>+'EJECUC(AMT)'!C93+'EJECUC(INT)'!C93</f>
        <v>1182.62666381</v>
      </c>
      <c r="E93" s="63" t="s">
        <v>70</v>
      </c>
      <c r="F93" s="26">
        <f>+'EJECUC(AMT)'!D93+'EJECUC(INT)'!D93</f>
        <v>3.449250959999999</v>
      </c>
      <c r="G93" s="26">
        <f>+'EJECUC(AMT)'!E93+'EJECUC(INT)'!E93</f>
        <v>53.41240519</v>
      </c>
      <c r="H93" s="54"/>
      <c r="I93" s="26">
        <f>+'EJECUC(AMT)'!F93+'EJECUC(INT)'!F93</f>
        <v>2620.17291203</v>
      </c>
      <c r="J93" s="63" t="s">
        <v>71</v>
      </c>
      <c r="K93" s="26">
        <f>+'EJECUC(AMT)'!G93+'EJECUC(INT)'!G93</f>
        <v>1.81860249</v>
      </c>
      <c r="L93" s="42">
        <f>+'EJECUC(AMT)'!H93+'EJECUC(INT)'!H93</f>
        <v>5.419864919999999</v>
      </c>
      <c r="M93" s="63"/>
      <c r="N93" s="27">
        <f>SUM(B93:L93)</f>
        <v>5995.740395649999</v>
      </c>
      <c r="O93" s="27"/>
      <c r="P93" s="35"/>
    </row>
    <row r="94" spans="1:16" ht="6.75" customHeight="1">
      <c r="A94" s="34"/>
      <c r="B94" s="25"/>
      <c r="C94" s="63"/>
      <c r="D94" s="26"/>
      <c r="E94" s="63"/>
      <c r="F94" s="26"/>
      <c r="G94" s="26"/>
      <c r="H94" s="54"/>
      <c r="I94" s="26"/>
      <c r="J94" s="63"/>
      <c r="K94" s="26"/>
      <c r="L94" s="42"/>
      <c r="M94" s="63"/>
      <c r="N94" s="27"/>
      <c r="O94" s="27"/>
      <c r="P94" s="35"/>
    </row>
    <row r="95" spans="1:16" ht="15.75">
      <c r="A95" s="34">
        <v>2011</v>
      </c>
      <c r="B95" s="25">
        <f>+'EJECUC(AMT)'!B95+'EJECUC(INT)'!B95</f>
        <v>781.4897702400001</v>
      </c>
      <c r="C95" s="63"/>
      <c r="D95" s="26">
        <f>+'EJECUC(AMT)'!C95+'EJECUC(INT)'!C95</f>
        <v>329.62300000000005</v>
      </c>
      <c r="E95" s="63"/>
      <c r="F95" s="26">
        <f>+'EJECUC(AMT)'!D95+'EJECUC(INT)'!D95</f>
        <v>1.74477202</v>
      </c>
      <c r="G95" s="26">
        <f>+'EJECUC(AMT)'!E95+'EJECUC(INT)'!E95</f>
        <v>3.05682104</v>
      </c>
      <c r="H95" s="54"/>
      <c r="I95" s="26">
        <f>+'EJECUC(AMT)'!F95+'EJECUC(INT)'!F95</f>
        <v>705.8697983000001</v>
      </c>
      <c r="J95" s="63"/>
      <c r="K95" s="26">
        <f>+'EJECUC(AMT)'!G95+'EJECUC(INT)'!G95</f>
        <v>0.37443923</v>
      </c>
      <c r="L95" s="42">
        <f>+'EJECUC(AMT)'!H95+'EJECUC(INT)'!H95</f>
        <v>5.242884949999999</v>
      </c>
      <c r="M95" s="63"/>
      <c r="N95" s="27">
        <f>SUM(B95:L95)</f>
        <v>1827.40148578</v>
      </c>
      <c r="O95" s="27"/>
      <c r="P95" s="35"/>
    </row>
    <row r="96" spans="1:16" ht="6.75" customHeight="1">
      <c r="A96" s="34"/>
      <c r="B96" s="25"/>
      <c r="C96" s="63"/>
      <c r="D96" s="26"/>
      <c r="E96" s="63"/>
      <c r="F96" s="26"/>
      <c r="G96" s="26"/>
      <c r="H96" s="54"/>
      <c r="I96" s="26"/>
      <c r="J96" s="63"/>
      <c r="K96" s="26"/>
      <c r="L96" s="42"/>
      <c r="M96" s="63"/>
      <c r="N96" s="27"/>
      <c r="O96" s="27"/>
      <c r="P96" s="35"/>
    </row>
    <row r="97" spans="1:16" ht="15.75">
      <c r="A97" s="34">
        <v>2012</v>
      </c>
      <c r="B97" s="25">
        <f>+'EJECUC(AMT)'!B97+'EJECUC(INT)'!B97</f>
        <v>868.7090000000001</v>
      </c>
      <c r="C97" s="63"/>
      <c r="D97" s="26">
        <f>+'EJECUC(AMT)'!C97+'EJECUC(INT)'!C97</f>
        <v>280.103</v>
      </c>
      <c r="E97" s="63"/>
      <c r="F97" s="26">
        <f>+'EJECUC(AMT)'!D97+'EJECUC(INT)'!D97</f>
        <v>1.7389999999999999</v>
      </c>
      <c r="G97" s="26">
        <f>+'EJECUC(AMT)'!E97+'EJECUC(INT)'!E97</f>
        <v>8.138</v>
      </c>
      <c r="H97" s="54"/>
      <c r="I97" s="26">
        <f>+'EJECUC(AMT)'!F97+'EJECUC(INT)'!F97</f>
        <v>1029.26</v>
      </c>
      <c r="J97" s="63"/>
      <c r="K97" s="26">
        <f>+'EJECUC(AMT)'!G97+'EJECUC(INT)'!G97</f>
        <v>2.399</v>
      </c>
      <c r="L97" s="42">
        <f>+'EJECUC(AMT)'!H97+'EJECUC(INT)'!H97</f>
        <v>5.075</v>
      </c>
      <c r="M97" s="63"/>
      <c r="N97" s="27">
        <f>SUM(B97:L97)</f>
        <v>2195.423</v>
      </c>
      <c r="O97" s="27"/>
      <c r="P97" s="35"/>
    </row>
    <row r="98" spans="1:16" ht="6.75" customHeight="1">
      <c r="A98" s="34"/>
      <c r="B98" s="25"/>
      <c r="C98" s="63"/>
      <c r="D98" s="26"/>
      <c r="E98" s="63"/>
      <c r="F98" s="26"/>
      <c r="G98" s="26"/>
      <c r="H98" s="54"/>
      <c r="I98" s="26"/>
      <c r="J98" s="63"/>
      <c r="K98" s="26"/>
      <c r="L98" s="42"/>
      <c r="M98" s="63"/>
      <c r="N98" s="27"/>
      <c r="O98" s="27"/>
      <c r="P98" s="35"/>
    </row>
    <row r="99" spans="1:16" ht="15.75">
      <c r="A99" s="34">
        <v>2013</v>
      </c>
      <c r="B99" s="25">
        <f>+'EJECUC(AMT)'!B99+'EJECUC(INT)'!B99</f>
        <v>2532.3790000000004</v>
      </c>
      <c r="C99" s="63" t="s">
        <v>76</v>
      </c>
      <c r="D99" s="26">
        <f>+'EJECUC(AMT)'!C99+'EJECUC(INT)'!C99</f>
        <v>248.14300000000003</v>
      </c>
      <c r="E99" s="63"/>
      <c r="F99" s="26">
        <f>+'EJECUC(AMT)'!D99+'EJECUC(INT)'!D99</f>
        <v>1.694</v>
      </c>
      <c r="G99" s="26">
        <f>+'EJECUC(AMT)'!E99+'EJECUC(INT)'!E99</f>
        <v>190.517</v>
      </c>
      <c r="H99" s="54"/>
      <c r="I99" s="26">
        <f>+'EJECUC(AMT)'!F99+'EJECUC(INT)'!F99</f>
        <v>737.296</v>
      </c>
      <c r="J99" s="63"/>
      <c r="K99" s="26">
        <f>+'EJECUC(AMT)'!G99+'EJECUC(INT)'!G99</f>
        <v>4.269</v>
      </c>
      <c r="L99" s="42">
        <f>+'EJECUC(AMT)'!H99+'EJECUC(INT)'!H99</f>
        <v>4.897</v>
      </c>
      <c r="M99" s="63"/>
      <c r="N99" s="27">
        <f>SUM(B99:L99)</f>
        <v>3719.195</v>
      </c>
      <c r="O99" s="27"/>
      <c r="P99" s="35"/>
    </row>
    <row r="100" spans="1:16" ht="6.75" customHeight="1">
      <c r="A100" s="34"/>
      <c r="B100" s="25"/>
      <c r="C100" s="63"/>
      <c r="D100" s="26"/>
      <c r="E100" s="63"/>
      <c r="F100" s="26"/>
      <c r="G100" s="26"/>
      <c r="H100" s="54"/>
      <c r="I100" s="26"/>
      <c r="J100" s="63"/>
      <c r="K100" s="26"/>
      <c r="L100" s="42"/>
      <c r="M100" s="63"/>
      <c r="N100" s="27"/>
      <c r="O100" s="27"/>
      <c r="P100" s="35"/>
    </row>
    <row r="101" spans="1:16" ht="15.75">
      <c r="A101" s="34">
        <v>2014</v>
      </c>
      <c r="B101" s="25">
        <f>+'EJECUC(AMT)'!B101+'EJECUC(INT)'!B101</f>
        <v>504.185</v>
      </c>
      <c r="C101" s="63"/>
      <c r="D101" s="26">
        <f>+'EJECUC(AMT)'!C101+'EJECUC(INT)'!C101</f>
        <v>249.324</v>
      </c>
      <c r="E101" s="63"/>
      <c r="F101" s="26">
        <f>+'EJECUC(AMT)'!D101+'EJECUC(INT)'!D101</f>
        <v>1.663</v>
      </c>
      <c r="G101" s="26">
        <f>+'EJECUC(AMT)'!E101+'EJECUC(INT)'!E101</f>
        <v>122.79599999999999</v>
      </c>
      <c r="H101" s="54"/>
      <c r="I101" s="26">
        <f>+'EJECUC(AMT)'!F101+'EJECUC(INT)'!F101</f>
        <v>1758.801</v>
      </c>
      <c r="J101" s="63" t="s">
        <v>82</v>
      </c>
      <c r="K101" s="26">
        <f>+'EJECUC(AMT)'!G101+'EJECUC(INT)'!G101</f>
        <v>4.076</v>
      </c>
      <c r="L101" s="42">
        <f>+'EJECUC(AMT)'!H101+'EJECUC(INT)'!H101</f>
        <v>4.722</v>
      </c>
      <c r="M101" s="63"/>
      <c r="N101" s="27">
        <f>SUM(B101:L101)</f>
        <v>2645.5670000000005</v>
      </c>
      <c r="O101" s="27"/>
      <c r="P101" s="35"/>
    </row>
    <row r="102" spans="1:16" ht="6.75" customHeight="1">
      <c r="A102" s="34"/>
      <c r="B102" s="25"/>
      <c r="C102" s="63"/>
      <c r="D102" s="26"/>
      <c r="E102" s="63"/>
      <c r="F102" s="26"/>
      <c r="G102" s="26"/>
      <c r="H102" s="54"/>
      <c r="I102" s="26"/>
      <c r="J102" s="63"/>
      <c r="K102" s="26"/>
      <c r="L102" s="42"/>
      <c r="M102" s="63"/>
      <c r="N102" s="27"/>
      <c r="O102" s="27"/>
      <c r="P102" s="35"/>
    </row>
    <row r="103" spans="1:16" ht="15.75">
      <c r="A103" s="34">
        <v>2015</v>
      </c>
      <c r="B103" s="25">
        <f>+'EJECUC(AMT)'!B103+'EJECUC(INT)'!B103</f>
        <v>533.917</v>
      </c>
      <c r="C103" s="63"/>
      <c r="D103" s="26">
        <f>+'EJECUC(AMT)'!C103+'EJECUC(INT)'!C103</f>
        <v>209.98000000000002</v>
      </c>
      <c r="E103" s="63"/>
      <c r="F103" s="26">
        <f>+'EJECUC(AMT)'!D103+'EJECUC(INT)'!D103</f>
        <v>1.4649999999999999</v>
      </c>
      <c r="G103" s="26">
        <f>+'EJECUC(AMT)'!E103+'EJECUC(INT)'!E103</f>
        <v>33.311</v>
      </c>
      <c r="H103" s="54"/>
      <c r="I103" s="26">
        <f>+'EJECUC(AMT)'!F103+'EJECUC(INT)'!F103</f>
        <v>1373.484</v>
      </c>
      <c r="J103" s="63" t="s">
        <v>84</v>
      </c>
      <c r="K103" s="26">
        <f>+'EJECUC(AMT)'!G103+'EJECUC(INT)'!G103</f>
        <v>0</v>
      </c>
      <c r="L103" s="42">
        <f>+'EJECUC(AMT)'!H103+'EJECUC(INT)'!H103</f>
        <v>4.55</v>
      </c>
      <c r="M103" s="63"/>
      <c r="N103" s="27">
        <f>SUM(B103:L103)</f>
        <v>2156.7070000000003</v>
      </c>
      <c r="O103" s="27"/>
      <c r="P103" s="35"/>
    </row>
    <row r="104" spans="1:16" ht="6.75" customHeight="1">
      <c r="A104" s="34"/>
      <c r="B104" s="25"/>
      <c r="C104" s="63"/>
      <c r="D104" s="26"/>
      <c r="E104" s="63"/>
      <c r="F104" s="26"/>
      <c r="G104" s="26"/>
      <c r="H104" s="54"/>
      <c r="I104" s="26"/>
      <c r="J104" s="63"/>
      <c r="K104" s="26"/>
      <c r="L104" s="42"/>
      <c r="M104" s="63"/>
      <c r="N104" s="27"/>
      <c r="O104" s="27"/>
      <c r="P104" s="35"/>
    </row>
    <row r="105" spans="1:16" ht="15.75">
      <c r="A105" s="34">
        <v>2016</v>
      </c>
      <c r="B105" s="25">
        <f>+'EJECUC(AMT)'!B105+'EJECUC(INT)'!B105</f>
        <v>693.2725509100001</v>
      </c>
      <c r="C105" s="63"/>
      <c r="D105" s="26">
        <f>+'EJECUC(AMT)'!C105+'EJECUC(INT)'!C105</f>
        <v>203.64003569</v>
      </c>
      <c r="E105" s="63"/>
      <c r="F105" s="26">
        <f>+'EJECUC(AMT)'!D105+'EJECUC(INT)'!D105</f>
        <v>0.69764903</v>
      </c>
      <c r="G105" s="26">
        <f>+'EJECUC(AMT)'!E105+'EJECUC(INT)'!E105</f>
        <v>366.71239446999994</v>
      </c>
      <c r="H105" s="54"/>
      <c r="I105" s="26">
        <f>+'EJECUC(AMT)'!F105+'EJECUC(INT)'!F105</f>
        <v>1717.3886463600002</v>
      </c>
      <c r="J105" s="63" t="s">
        <v>86</v>
      </c>
      <c r="K105" s="26">
        <f>+'EJECUC(AMT)'!G105+'EJECUC(INT)'!G105</f>
        <v>0</v>
      </c>
      <c r="L105" s="42">
        <f>+'EJECUC(AMT)'!H105+'EJECUC(INT)'!H105</f>
        <v>4.379613339999999</v>
      </c>
      <c r="M105" s="63"/>
      <c r="N105" s="27">
        <f>SUM(B105:L105)</f>
        <v>2986.0908898000002</v>
      </c>
      <c r="O105" s="27"/>
      <c r="P105" s="35"/>
    </row>
    <row r="106" spans="1:16" ht="6.75" customHeight="1">
      <c r="A106" s="34"/>
      <c r="B106" s="25"/>
      <c r="C106" s="63"/>
      <c r="D106" s="26"/>
      <c r="E106" s="63"/>
      <c r="F106" s="26"/>
      <c r="G106" s="26"/>
      <c r="H106" s="54"/>
      <c r="I106" s="26"/>
      <c r="J106" s="63"/>
      <c r="K106" s="26"/>
      <c r="L106" s="42"/>
      <c r="M106" s="63"/>
      <c r="N106" s="27"/>
      <c r="O106" s="27"/>
      <c r="P106" s="35"/>
    </row>
    <row r="107" spans="1:16" ht="15.75">
      <c r="A107" s="34">
        <v>2017</v>
      </c>
      <c r="B107" s="25">
        <f>+'EJECUC(AMT)'!B107+'EJECUC(INT)'!B107</f>
        <v>3365.2495102099997</v>
      </c>
      <c r="C107" s="63" t="s">
        <v>90</v>
      </c>
      <c r="D107" s="26">
        <f>+'EJECUC(AMT)'!C107+'EJECUC(INT)'!C107</f>
        <v>613.9747268000001</v>
      </c>
      <c r="E107" s="63" t="s">
        <v>91</v>
      </c>
      <c r="F107" s="26">
        <f>+'EJECUC(AMT)'!D107+'EJECUC(INT)'!D107</f>
        <v>0</v>
      </c>
      <c r="G107" s="26">
        <f>+'EJECUC(AMT)'!E107+'EJECUC(INT)'!E107</f>
        <v>757.09296808</v>
      </c>
      <c r="H107" s="54"/>
      <c r="I107" s="26">
        <f>+'EJECUC(AMT)'!F107+'EJECUC(INT)'!F107</f>
        <v>885.4487018299999</v>
      </c>
      <c r="J107" s="63"/>
      <c r="K107" s="26">
        <f>+'EJECUC(AMT)'!G107+'EJECUC(INT)'!G107</f>
        <v>0</v>
      </c>
      <c r="L107" s="42">
        <f>+'EJECUC(AMT)'!H107+'EJECUC(INT)'!H107</f>
        <v>3.97700194</v>
      </c>
      <c r="M107" s="63"/>
      <c r="N107" s="27">
        <f>SUM(B107:L107)</f>
        <v>5625.742908859999</v>
      </c>
      <c r="O107" s="27"/>
      <c r="P107" s="35"/>
    </row>
    <row r="108" spans="1:16" ht="6.75" customHeight="1">
      <c r="A108" s="34"/>
      <c r="B108" s="25"/>
      <c r="C108" s="63"/>
      <c r="D108" s="26"/>
      <c r="E108" s="63"/>
      <c r="F108" s="26"/>
      <c r="G108" s="26"/>
      <c r="H108" s="54"/>
      <c r="I108" s="26"/>
      <c r="J108" s="63"/>
      <c r="K108" s="26"/>
      <c r="L108" s="42"/>
      <c r="M108" s="63"/>
      <c r="N108" s="27"/>
      <c r="O108" s="27"/>
      <c r="P108" s="35"/>
    </row>
    <row r="109" spans="1:17" ht="15.75">
      <c r="A109" s="34">
        <v>2018</v>
      </c>
      <c r="B109" s="25">
        <f>+'EJECUC(AMT)'!B109+'EJECUC(INT)'!B109</f>
        <v>1057.00550301</v>
      </c>
      <c r="C109" s="63" t="s">
        <v>94</v>
      </c>
      <c r="D109" s="26">
        <f>+'EJECUC(AMT)'!C109+'EJECUC(INT)'!C109</f>
        <v>158.20305247</v>
      </c>
      <c r="E109" s="63"/>
      <c r="F109" s="26">
        <f>+'EJECUC(AMT)'!D109+'EJECUC(INT)'!D109</f>
        <v>0</v>
      </c>
      <c r="G109" s="26">
        <f>+'EJECUC(AMT)'!E109+'EJECUC(INT)'!E109</f>
        <v>58.36473333</v>
      </c>
      <c r="H109" s="54"/>
      <c r="I109" s="26">
        <f>+'EJECUC(AMT)'!F109+'EJECUC(INT)'!F109</f>
        <v>1486.78293863</v>
      </c>
      <c r="J109" s="63" t="s">
        <v>95</v>
      </c>
      <c r="K109" s="26">
        <f>+'EJECUC(AMT)'!G109+'EJECUC(INT)'!G109</f>
        <v>0</v>
      </c>
      <c r="L109" s="42">
        <f>+'EJECUC(AMT)'!H109+'EJECUC(INT)'!H109</f>
        <v>3.5825156</v>
      </c>
      <c r="M109" s="63"/>
      <c r="N109" s="27">
        <f>SUM(B109:L109)</f>
        <v>2763.93874304</v>
      </c>
      <c r="O109" s="27"/>
      <c r="P109" s="35"/>
      <c r="Q109" s="75"/>
    </row>
    <row r="110" spans="1:16" ht="6.75" customHeight="1">
      <c r="A110" s="34"/>
      <c r="B110" s="25"/>
      <c r="C110" s="63"/>
      <c r="D110" s="26"/>
      <c r="E110" s="63"/>
      <c r="F110" s="26"/>
      <c r="G110" s="26"/>
      <c r="H110" s="54"/>
      <c r="I110" s="26"/>
      <c r="J110" s="63"/>
      <c r="K110" s="26"/>
      <c r="L110" s="42"/>
      <c r="M110" s="63"/>
      <c r="N110" s="27"/>
      <c r="O110" s="27"/>
      <c r="P110" s="35"/>
    </row>
    <row r="111" spans="1:17" ht="15.75">
      <c r="A111" s="34">
        <v>2019</v>
      </c>
      <c r="B111" s="25">
        <f>+'EJECUC(AMT)'!B111+'EJECUC(INT)'!B111</f>
        <v>710.5540296500001</v>
      </c>
      <c r="C111" s="63" t="s">
        <v>98</v>
      </c>
      <c r="D111" s="26">
        <f>+'EJECUC(AMT)'!C111+'EJECUC(INT)'!C111</f>
        <v>160.9143813</v>
      </c>
      <c r="E111" s="63"/>
      <c r="F111" s="26">
        <f>+'EJECUC(AMT)'!D111+'EJECUC(INT)'!D111</f>
        <v>0</v>
      </c>
      <c r="G111" s="26">
        <f>+'EJECUC(AMT)'!E111+'EJECUC(INT)'!E111</f>
        <v>45.58150968999999</v>
      </c>
      <c r="H111" s="54"/>
      <c r="I111" s="26">
        <f>+'EJECUC(AMT)'!F111+'EJECUC(INT)'!F111</f>
        <v>2451.2712164900004</v>
      </c>
      <c r="J111" s="63" t="s">
        <v>99</v>
      </c>
      <c r="K111" s="26">
        <f>+'EJECUC(AMT)'!G111+'EJECUC(INT)'!G111</f>
        <v>0</v>
      </c>
      <c r="L111" s="42">
        <f>+'EJECUC(AMT)'!H111+'EJECUC(INT)'!H111</f>
        <v>3.4207275399999997</v>
      </c>
      <c r="M111" s="63"/>
      <c r="N111" s="27">
        <f>SUM(B111:L111)</f>
        <v>3371.7418646700003</v>
      </c>
      <c r="O111" s="27"/>
      <c r="P111" s="35"/>
      <c r="Q111" s="74"/>
    </row>
    <row r="112" spans="1:17" ht="6.75" customHeight="1">
      <c r="A112" s="34"/>
      <c r="B112" s="25"/>
      <c r="C112" s="63"/>
      <c r="D112" s="26"/>
      <c r="E112" s="63"/>
      <c r="F112" s="26"/>
      <c r="G112" s="26"/>
      <c r="H112" s="54"/>
      <c r="I112" s="26"/>
      <c r="J112" s="63"/>
      <c r="K112" s="26"/>
      <c r="L112" s="42"/>
      <c r="M112" s="63"/>
      <c r="N112" s="27"/>
      <c r="O112" s="27"/>
      <c r="P112" s="35"/>
      <c r="Q112" s="74"/>
    </row>
    <row r="113" spans="1:17" ht="15.75">
      <c r="A113" s="34">
        <v>2020</v>
      </c>
      <c r="B113" s="25">
        <f>+'EJECUC(AMT)'!B113+'EJECUC(INT)'!B113</f>
        <v>291.96542631000005</v>
      </c>
      <c r="C113" s="63" t="s">
        <v>103</v>
      </c>
      <c r="D113" s="26">
        <f>+'EJECUC(AMT)'!C113+'EJECUC(INT)'!C113</f>
        <v>176.40032353</v>
      </c>
      <c r="E113" s="63"/>
      <c r="F113" s="26">
        <f>+'EJECUC(AMT)'!D113+'EJECUC(INT)'!D113</f>
        <v>0</v>
      </c>
      <c r="G113" s="26">
        <f>+'EJECUC(AMT)'!E113+'EJECUC(INT)'!E113</f>
        <v>50.48779098</v>
      </c>
      <c r="H113" s="54"/>
      <c r="I113" s="26">
        <f>+'EJECUC(AMT)'!F113+'EJECUC(INT)'!F113</f>
        <v>1561.10955517</v>
      </c>
      <c r="J113" s="63" t="s">
        <v>104</v>
      </c>
      <c r="K113" s="26">
        <f>+'EJECUC(AMT)'!G113+'EJECUC(INT)'!G113</f>
        <v>0</v>
      </c>
      <c r="L113" s="42">
        <f>+'EJECUC(AMT)'!H113+'EJECUC(INT)'!H113</f>
        <v>1.6496932499999999</v>
      </c>
      <c r="M113" s="63"/>
      <c r="N113" s="27">
        <f>SUM(B113:L113)</f>
        <v>2081.61278924</v>
      </c>
      <c r="O113" s="27"/>
      <c r="P113" s="35"/>
      <c r="Q113" s="74"/>
    </row>
    <row r="114" spans="1:17" ht="6.75" customHeight="1">
      <c r="A114" s="34"/>
      <c r="B114" s="25"/>
      <c r="C114" s="63"/>
      <c r="D114" s="26"/>
      <c r="E114" s="63"/>
      <c r="F114" s="26"/>
      <c r="G114" s="26"/>
      <c r="H114" s="54"/>
      <c r="I114" s="26"/>
      <c r="J114" s="63"/>
      <c r="K114" s="26"/>
      <c r="L114" s="42"/>
      <c r="M114" s="63"/>
      <c r="N114" s="27"/>
      <c r="O114" s="27"/>
      <c r="P114" s="35"/>
      <c r="Q114" s="74"/>
    </row>
    <row r="115" spans="1:17" ht="15.75">
      <c r="A115" s="34">
        <v>2021</v>
      </c>
      <c r="B115" s="25">
        <f>+'EJECUC(AMT)'!B115+'EJECUC(INT)'!B115</f>
        <v>375.95399232</v>
      </c>
      <c r="C115" s="63"/>
      <c r="D115" s="26">
        <f>+'EJECUC(AMT)'!C115+'EJECUC(INT)'!C115</f>
        <v>179.1672194</v>
      </c>
      <c r="E115" s="63"/>
      <c r="F115" s="26">
        <f>+'EJECUC(AMT)'!D115+'EJECUC(INT)'!D115</f>
        <v>0</v>
      </c>
      <c r="G115" s="26">
        <f>+'EJECUC(AMT)'!E115+'EJECUC(INT)'!E115</f>
        <v>46.148947189999994</v>
      </c>
      <c r="H115" s="54"/>
      <c r="I115" s="26">
        <f>+'EJECUC(AMT)'!F115+'EJECUC(INT)'!F115</f>
        <v>1168.49519752</v>
      </c>
      <c r="J115" s="63"/>
      <c r="K115" s="26">
        <f>+'EJECUC(AMT)'!G115+'EJECUC(INT)'!G115</f>
        <v>0</v>
      </c>
      <c r="L115" s="42">
        <f>+'EJECUC(AMT)'!H115+'EJECUC(INT)'!H115</f>
        <v>0</v>
      </c>
      <c r="M115" s="63"/>
      <c r="N115" s="27">
        <f>SUM(B115:L115)</f>
        <v>1769.7653564299999</v>
      </c>
      <c r="O115" s="27"/>
      <c r="P115" s="35"/>
      <c r="Q115" s="74"/>
    </row>
    <row r="116" spans="1:17" ht="6.75" customHeight="1">
      <c r="A116" s="34"/>
      <c r="B116" s="25"/>
      <c r="C116" s="63"/>
      <c r="D116" s="26"/>
      <c r="E116" s="63"/>
      <c r="F116" s="26"/>
      <c r="G116" s="26"/>
      <c r="H116" s="54"/>
      <c r="I116" s="26"/>
      <c r="J116" s="63"/>
      <c r="K116" s="26"/>
      <c r="L116" s="42"/>
      <c r="M116" s="63"/>
      <c r="N116" s="27"/>
      <c r="O116" s="27"/>
      <c r="P116" s="35"/>
      <c r="Q116" s="74"/>
    </row>
    <row r="117" spans="1:17" ht="15.75">
      <c r="A117" s="34">
        <v>2022</v>
      </c>
      <c r="B117" s="25">
        <f>+'EJECUC(AMT)'!B117+'EJECUC(INT)'!B117</f>
        <v>938.6848141100002</v>
      </c>
      <c r="C117" s="63"/>
      <c r="D117" s="26">
        <f>+'EJECUC(AMT)'!C117+'EJECUC(INT)'!C117</f>
        <v>188.32536129</v>
      </c>
      <c r="E117" s="63"/>
      <c r="F117" s="26">
        <f>+'EJECUC(AMT)'!D117+'EJECUC(INT)'!D117</f>
        <v>0</v>
      </c>
      <c r="G117" s="26">
        <f>+'EJECUC(AMT)'!E117+'EJECUC(INT)'!E117</f>
        <v>189.1694392</v>
      </c>
      <c r="H117" s="54"/>
      <c r="I117" s="26">
        <f>+'EJECUC(AMT)'!F117+'EJECUC(INT)'!F117</f>
        <v>2032.0219274699998</v>
      </c>
      <c r="J117" s="63" t="s">
        <v>107</v>
      </c>
      <c r="K117" s="26">
        <f>+'EJECUC(AMT)'!G117+'EJECUC(INT)'!G117</f>
        <v>0</v>
      </c>
      <c r="L117" s="42">
        <f>+'EJECUC(AMT)'!H117+'EJECUC(INT)'!H117</f>
        <v>0</v>
      </c>
      <c r="M117" s="63"/>
      <c r="N117" s="27">
        <f>SUM(B117:L117)</f>
        <v>3348.20154207</v>
      </c>
      <c r="O117" s="27"/>
      <c r="P117" s="35"/>
      <c r="Q117" s="74"/>
    </row>
    <row r="118" spans="1:17" ht="6.75" customHeight="1">
      <c r="A118" s="34"/>
      <c r="B118" s="25"/>
      <c r="C118" s="63"/>
      <c r="D118" s="26"/>
      <c r="E118" s="63"/>
      <c r="F118" s="26"/>
      <c r="G118" s="26"/>
      <c r="H118" s="54"/>
      <c r="I118" s="26"/>
      <c r="J118" s="63"/>
      <c r="K118" s="26"/>
      <c r="L118" s="42"/>
      <c r="M118" s="63"/>
      <c r="N118" s="27"/>
      <c r="O118" s="27"/>
      <c r="P118" s="35"/>
      <c r="Q118" s="74"/>
    </row>
    <row r="119" spans="1:17" ht="15.75">
      <c r="A119" s="34">
        <v>2023</v>
      </c>
      <c r="B119" s="25">
        <f>+'EJECUC(AMT)'!B119+'EJECUC(INT)'!B119</f>
        <v>1399.1796073199998</v>
      </c>
      <c r="C119" s="63"/>
      <c r="D119" s="26">
        <f>+'EJECUC(AMT)'!C119+'EJECUC(INT)'!C119</f>
        <v>215.14581562999996</v>
      </c>
      <c r="E119" s="63"/>
      <c r="F119" s="26">
        <f>+'EJECUC(AMT)'!D119+'EJECUC(INT)'!D119</f>
        <v>0</v>
      </c>
      <c r="G119" s="26">
        <f>+'EJECUC(AMT)'!E119+'EJECUC(INT)'!E119</f>
        <v>203.44248692000002</v>
      </c>
      <c r="H119" s="54"/>
      <c r="I119" s="26">
        <f>+'EJECUC(AMT)'!F119+'EJECUC(INT)'!F119</f>
        <v>3189.80890611</v>
      </c>
      <c r="J119" s="63" t="s">
        <v>112</v>
      </c>
      <c r="K119" s="26">
        <f>+'EJECUC(AMT)'!G119+'EJECUC(INT)'!G119</f>
        <v>0</v>
      </c>
      <c r="L119" s="42">
        <f>+'EJECUC(AMT)'!H119+'EJECUC(INT)'!H119</f>
        <v>0</v>
      </c>
      <c r="M119" s="63"/>
      <c r="N119" s="27">
        <f>SUM(B119:L119)</f>
        <v>5007.57681598</v>
      </c>
      <c r="O119" s="27"/>
      <c r="P119" s="35"/>
      <c r="Q119" s="74"/>
    </row>
    <row r="120" spans="1:15" ht="9.75" customHeight="1">
      <c r="A120" s="13"/>
      <c r="B120" s="28"/>
      <c r="C120" s="29"/>
      <c r="D120" s="29"/>
      <c r="E120" s="29"/>
      <c r="F120" s="29"/>
      <c r="G120" s="29"/>
      <c r="H120" s="29"/>
      <c r="I120" s="29"/>
      <c r="J120" s="29"/>
      <c r="K120" s="29"/>
      <c r="L120" s="43"/>
      <c r="M120" s="58"/>
      <c r="N120" s="44"/>
      <c r="O120" s="27"/>
    </row>
    <row r="121" spans="1:15" ht="9.75" customHeight="1">
      <c r="A121" s="13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58"/>
      <c r="N121" s="44"/>
      <c r="O121" s="27"/>
    </row>
    <row r="122" spans="1:15" ht="9.75" customHeight="1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59"/>
      <c r="N122" s="24"/>
      <c r="O122" s="24"/>
    </row>
    <row r="123" spans="1:14" ht="9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60"/>
      <c r="N123" s="8"/>
    </row>
    <row r="124" spans="1:14" ht="15.75">
      <c r="A124" s="62" t="s">
        <v>14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60"/>
      <c r="N124" s="69"/>
    </row>
    <row r="125" spans="1:14" ht="15.75">
      <c r="A125" s="62" t="s">
        <v>15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60"/>
      <c r="N125" s="69"/>
    </row>
    <row r="126" spans="1:14" ht="15.75">
      <c r="A126" s="61" t="s">
        <v>19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60"/>
      <c r="N126" s="8"/>
    </row>
    <row r="127" spans="1:14" ht="15.75">
      <c r="A127" s="53" t="s">
        <v>24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60"/>
      <c r="N127" s="8"/>
    </row>
    <row r="128" spans="1:14" ht="15.75">
      <c r="A128" s="52" t="s">
        <v>25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60"/>
      <c r="N128" s="8"/>
    </row>
    <row r="129" spans="1:14" ht="15.75">
      <c r="A129" s="52" t="s">
        <v>28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60"/>
      <c r="N129" s="8"/>
    </row>
    <row r="130" spans="1:14" ht="15.75">
      <c r="A130" s="52" t="s">
        <v>29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60"/>
      <c r="N130" s="8"/>
    </row>
    <row r="131" spans="1:14" ht="15.75">
      <c r="A131" s="52" t="s">
        <v>31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60"/>
      <c r="N131" s="8"/>
    </row>
    <row r="132" spans="1:14" ht="15.75">
      <c r="A132" s="52" t="s">
        <v>33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60"/>
      <c r="N132" s="8"/>
    </row>
    <row r="133" spans="1:13" ht="15.75">
      <c r="A133" s="53" t="s">
        <v>35</v>
      </c>
      <c r="M133" s="60"/>
    </row>
    <row r="134" spans="1:13" ht="15.75">
      <c r="A134" s="64" t="s">
        <v>41</v>
      </c>
      <c r="M134" s="60"/>
    </row>
    <row r="135" spans="1:13" ht="15.75">
      <c r="A135" s="64" t="s">
        <v>42</v>
      </c>
      <c r="M135" s="60"/>
    </row>
    <row r="136" spans="1:13" ht="15.75">
      <c r="A136" s="53" t="s">
        <v>43</v>
      </c>
      <c r="M136" s="60"/>
    </row>
    <row r="137" spans="1:13" ht="15.75">
      <c r="A137" s="53" t="s">
        <v>50</v>
      </c>
      <c r="M137" s="60"/>
    </row>
    <row r="138" spans="1:13" ht="15.75">
      <c r="A138" s="53" t="s">
        <v>51</v>
      </c>
      <c r="M138" s="60"/>
    </row>
    <row r="139" spans="1:13" ht="15.75">
      <c r="A139" s="64" t="s">
        <v>52</v>
      </c>
      <c r="M139" s="60"/>
    </row>
    <row r="140" spans="1:13" ht="15.75">
      <c r="A140" s="64" t="s">
        <v>53</v>
      </c>
      <c r="M140" s="60"/>
    </row>
    <row r="141" spans="1:13" ht="15.75">
      <c r="A141" s="64" t="s">
        <v>68</v>
      </c>
      <c r="M141" s="60"/>
    </row>
    <row r="142" spans="1:13" ht="15.75">
      <c r="A142" s="53" t="s">
        <v>54</v>
      </c>
      <c r="M142" s="60"/>
    </row>
    <row r="143" spans="1:13" ht="15.75">
      <c r="A143" s="55" t="s">
        <v>55</v>
      </c>
      <c r="M143" s="60"/>
    </row>
    <row r="144" spans="1:13" ht="15.75">
      <c r="A144" s="55" t="s">
        <v>56</v>
      </c>
      <c r="M144" s="60"/>
    </row>
    <row r="145" spans="1:13" ht="15.75">
      <c r="A145" s="55" t="s">
        <v>59</v>
      </c>
      <c r="M145" s="60"/>
    </row>
    <row r="146" spans="1:13" ht="15.75">
      <c r="A146" s="66" t="s">
        <v>60</v>
      </c>
      <c r="M146" s="60"/>
    </row>
    <row r="147" spans="1:13" ht="15.75">
      <c r="A147" s="65" t="s">
        <v>61</v>
      </c>
      <c r="M147" s="60"/>
    </row>
    <row r="148" spans="1:13" ht="15.75">
      <c r="A148" s="65" t="s">
        <v>62</v>
      </c>
      <c r="M148" s="60"/>
    </row>
    <row r="149" spans="1:13" ht="15.75">
      <c r="A149" s="68" t="s">
        <v>63</v>
      </c>
      <c r="M149" s="60"/>
    </row>
    <row r="150" spans="1:13" ht="15.75">
      <c r="A150" s="67" t="s">
        <v>64</v>
      </c>
      <c r="M150" s="60"/>
    </row>
    <row r="151" spans="1:4" ht="15.75">
      <c r="A151" s="65" t="s">
        <v>65</v>
      </c>
      <c r="B151" s="32"/>
      <c r="C151" s="32"/>
      <c r="D151" s="32"/>
    </row>
    <row r="152" spans="1:4" ht="15.75">
      <c r="A152" s="67" t="s">
        <v>78</v>
      </c>
      <c r="B152" s="32"/>
      <c r="C152" s="32"/>
      <c r="D152" s="32"/>
    </row>
    <row r="153" spans="1:4" ht="15.75">
      <c r="A153" s="67" t="s">
        <v>77</v>
      </c>
      <c r="B153" s="32"/>
      <c r="C153" s="32"/>
      <c r="D153" s="32"/>
    </row>
    <row r="154" ht="15.75">
      <c r="A154" s="67" t="s">
        <v>79</v>
      </c>
    </row>
    <row r="155" ht="15.75">
      <c r="A155" s="67" t="s">
        <v>75</v>
      </c>
    </row>
    <row r="156" ht="15.75">
      <c r="A156" s="67" t="s">
        <v>80</v>
      </c>
    </row>
    <row r="157" ht="15.75">
      <c r="A157" s="67" t="s">
        <v>81</v>
      </c>
    </row>
    <row r="158" ht="15.75">
      <c r="A158" s="67" t="s">
        <v>83</v>
      </c>
    </row>
    <row r="159" spans="1:6" ht="15.75">
      <c r="A159" s="67" t="s">
        <v>85</v>
      </c>
      <c r="B159" s="32"/>
      <c r="C159" s="32"/>
      <c r="D159" s="32"/>
      <c r="E159" s="32"/>
      <c r="F159" s="32"/>
    </row>
    <row r="160" spans="1:6" ht="15.75">
      <c r="A160" s="67" t="s">
        <v>87</v>
      </c>
      <c r="B160" s="32"/>
      <c r="C160" s="32"/>
      <c r="D160" s="32"/>
      <c r="E160" s="32"/>
      <c r="F160" s="32"/>
    </row>
    <row r="161" spans="1:6" ht="15.75">
      <c r="A161" s="67" t="s">
        <v>89</v>
      </c>
      <c r="B161" s="32"/>
      <c r="C161" s="32"/>
      <c r="D161" s="32"/>
      <c r="E161" s="32"/>
      <c r="F161" s="32"/>
    </row>
    <row r="162" spans="1:6" ht="15.75">
      <c r="A162" s="70" t="s">
        <v>88</v>
      </c>
      <c r="B162" s="32"/>
      <c r="C162" s="32"/>
      <c r="D162" s="32"/>
      <c r="E162" s="32"/>
      <c r="F162" s="32"/>
    </row>
    <row r="163" spans="1:6" ht="15.75">
      <c r="A163" s="67" t="s">
        <v>97</v>
      </c>
      <c r="B163" s="32"/>
      <c r="C163" s="32"/>
      <c r="D163" s="32"/>
      <c r="E163" s="32"/>
      <c r="F163" s="32"/>
    </row>
    <row r="164" spans="1:6" ht="15.75">
      <c r="A164" s="67" t="s">
        <v>96</v>
      </c>
      <c r="B164" s="32"/>
      <c r="C164" s="32"/>
      <c r="D164" s="32"/>
      <c r="E164" s="32"/>
      <c r="F164" s="32"/>
    </row>
    <row r="165" spans="1:3" ht="15.75">
      <c r="A165" s="70" t="s">
        <v>100</v>
      </c>
      <c r="B165" s="32"/>
      <c r="C165" s="32"/>
    </row>
    <row r="166" ht="15.75">
      <c r="A166" s="67" t="s">
        <v>101</v>
      </c>
    </row>
    <row r="167" ht="15.75">
      <c r="A167" s="67" t="s">
        <v>102</v>
      </c>
    </row>
    <row r="168" ht="15.75">
      <c r="A168" s="67" t="s">
        <v>105</v>
      </c>
    </row>
    <row r="169" ht="15.75">
      <c r="A169" s="67" t="s">
        <v>110</v>
      </c>
    </row>
    <row r="170" ht="15.75">
      <c r="A170" s="67" t="s">
        <v>106</v>
      </c>
    </row>
    <row r="171" ht="15.75">
      <c r="A171" s="67" t="s">
        <v>108</v>
      </c>
    </row>
    <row r="172" ht="15.75">
      <c r="A172" s="67" t="s">
        <v>109</v>
      </c>
    </row>
    <row r="173" ht="15.75">
      <c r="A173" s="67" t="s">
        <v>113</v>
      </c>
    </row>
    <row r="174" ht="15.75">
      <c r="A174" s="67" t="s">
        <v>114</v>
      </c>
    </row>
  </sheetData>
  <sheetProtection/>
  <printOptions horizontalCentered="1"/>
  <pageMargins left="0.5118110236220472" right="0.5118110236220472" top="0.5905511811023623" bottom="0.5905511811023623" header="0" footer="0.15748031496062992"/>
  <pageSetup fitToHeight="2" fitToWidth="1" horizontalDpi="600" verticalDpi="600" orientation="portrait" paperSize="9" scale="63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Pisconte Pachas, Jose</cp:lastModifiedBy>
  <cp:lastPrinted>2009-11-02T17:28:05Z</cp:lastPrinted>
  <dcterms:created xsi:type="dcterms:W3CDTF">1998-01-19T23:13:12Z</dcterms:created>
  <dcterms:modified xsi:type="dcterms:W3CDTF">2024-04-30T15:52:35Z</dcterms:modified>
  <cp:category/>
  <cp:version/>
  <cp:contentType/>
  <cp:contentStatus/>
</cp:coreProperties>
</file>