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 localSheetId="11">#REF!</definedName>
    <definedName name="A_impresión_IM">#REF!</definedName>
    <definedName name="_xlnm.Print_Area" localSheetId="4">'DEP-C1'!$A$1:$AK$49</definedName>
    <definedName name="_xlnm.Print_Area" localSheetId="5">'DEP-C2'!$B$1:$D$47</definedName>
    <definedName name="_xlnm.Print_Area" localSheetId="6">'DEP-C3'!$B$5:$D$62</definedName>
    <definedName name="_xlnm.Print_Area" localSheetId="7">'DEP-C4'!$B$1:$D$91</definedName>
    <definedName name="_xlnm.Print_Area" localSheetId="8">'DEP-C5'!$B$1:$D$51</definedName>
    <definedName name="_xlnm.Print_Area" localSheetId="9">'DEP-C6'!$B$1:$E$79</definedName>
    <definedName name="_xlnm.Print_Area" localSheetId="10">'DEP-C7'!$B$1:$E$89</definedName>
    <definedName name="_xlnm.Print_Area" localSheetId="11">'DEP-C8'!$B$1:$D$128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<sst xmlns="http://schemas.openxmlformats.org/spreadsheetml/2006/main" count="619" uniqueCount="265">
  <si>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</si>
  <si>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</si>
  <si>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</si>
  <si>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</si>
  <si>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</si>
  <si>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</si>
  <si>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</si>
  <si>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</si>
  <si>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</si>
  <si>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</si>
  <si>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</si>
  <si>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</si>
  <si>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</si>
  <si>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</si>
  <si>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</si>
  <si>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</si>
  <si>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</si>
  <si>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</si>
  <si>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</si>
  <si>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</si>
  <si>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</si>
  <si>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</si>
  <si>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</si>
  <si>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</si>
  <si>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</si>
  <si>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</si>
  <si>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</si>
  <si>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</si>
  <si>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</si>
  <si>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</si>
  <si>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</si>
  <si>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</si>
  <si>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</si>
  <si>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</si>
  <si>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</si>
  <si>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</si>
  <si>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</si>
  <si>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</si>
  <si>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</si>
  <si>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</si>
  <si>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</si>
  <si>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</si>
  <si>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</si>
  <si>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</si>
  <si>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</si>
  <si>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</si>
  <si>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</si>
  <si>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</si>
  <si>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</si>
  <si>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</si>
  <si>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</si>
  <si>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</si>
  <si>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</si>
  <si>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</si>
  <si>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</si>
  <si>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</si>
  <si>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</si>
  <si>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</si>
  <si>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</si>
  <si>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</si>
  <si>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</si>
  <si>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</si>
  <si>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</si>
  <si>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</si>
  <si>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</si>
  <si>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</si>
  <si>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</si>
  <si>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</si>
  <si>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</si>
  <si>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</si>
  <si>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</si>
  <si>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</si>
  <si>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</si>
  <si>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</si>
  <si>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</si>
  <si>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</si>
  <si>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</si>
  <si>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</si>
  <si>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</si>
  <si>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</si>
  <si>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</si>
  <si>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</si>
  <si>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</si>
  <si>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</si>
  <si>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</si>
  <si>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</si>
  <si>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</si>
  <si>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</si>
  <si>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</si>
  <si>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</si>
  <si>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</si>
  <si>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</si>
  <si>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</si>
  <si>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</si>
  <si>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</si>
  <si>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</si>
  <si>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</si>
  <si>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</si>
  <si>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</si>
  <si>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</si>
  <si>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</si>
  <si>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</si>
  <si>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</si>
  <si>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</si>
  <si>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</si>
  <si>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</si>
  <si>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</si>
  <si>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</si>
  <si>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</si>
  <si>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</si>
  <si>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</si>
  <si>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</si>
  <si>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</si>
  <si>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</si>
  <si>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</si>
  <si>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</si>
  <si>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</si>
  <si>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</si>
  <si>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</si>
  <si>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</si>
  <si>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</si>
  <si>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</si>
  <si>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</si>
  <si>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</si>
  <si>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</si>
  <si>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</si>
  <si>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</si>
  <si>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</si>
  <si>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</si>
  <si>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</si>
  <si>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</si>
  <si>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</si>
  <si>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</si>
  <si>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</si>
  <si>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</si>
  <si>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</si>
  <si>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</si>
  <si>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</si>
  <si>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</si>
  <si>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</si>
  <si>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</si>
  <si>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</si>
  <si>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</si>
  <si>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</si>
  <si>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</si>
  <si>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</si>
  <si>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</si>
  <si>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</si>
  <si>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</si>
  <si>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</si>
  <si>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</si>
  <si>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</si>
  <si>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</si>
  <si>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</si>
  <si>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</si>
  <si>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</si>
  <si>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</si>
  <si>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</si>
  <si>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</si>
  <si>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</si>
  <si>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</si>
  <si>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</si>
  <si>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</si>
  <si>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</si>
  <si>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</si>
  <si>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</si>
  <si>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</si>
  <si>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Corporacion Andina De Fomento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</si>
  <si>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</si>
  <si>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</si>
  <si>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</si>
  <si>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</si>
  <si>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</si>
  <si>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</si>
  <si>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</si>
  <si>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</si>
  <si>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</si>
  <si>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</si>
  <si>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</si>
  <si>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</si>
  <si>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</si>
  <si>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</si>
  <si>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</si>
  <si>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</si>
  <si>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</si>
  <si>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</si>
  <si>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</si>
  <si>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</si>
  <si>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</si>
  <si>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</si>
  <si>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</si>
  <si>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</si>
  <si>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</si>
  <si>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</si>
  <si>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</si>
  <si>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</si>
  <si>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Servicios Industriales de la Marina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</si>
  <si>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</si>
  <si>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</si>
  <si>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</si>
  <si>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Empresa Regional de Servicio Público de Electricidad del Oriente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</si>
  <si>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</si>
  <si>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</si>
  <si>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</si>
  <si>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</si>
  <si>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</si>
  <si>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</si>
  <si>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</si>
  <si>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</si>
  <si>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</si>
  <si>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</si>
  <si>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</si>
  <si>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</si>
  <si>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</si>
  <si>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</si>
  <si>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</si>
  <si>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</si>
  <si>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</si>
  <si>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</si>
  <si>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</si>
  <si>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</si>
  <si>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</si>
  <si>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</si>
  <si>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</si>
  <si>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</si>
  <si>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</si>
  <si>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</si>
  <si>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</si>
  <si>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</si>
  <si>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</si>
  <si>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</si>
  <si>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</si>
  <si>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</si>
  <si>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</si>
  <si>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</si>
  <si>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</si>
  <si>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</si>
  <si>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</si>
  <si>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</si>
  <si>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</si>
  <si>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del Sur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</si>
  <si>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</si>
  <si>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</si>
  <si>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</si>
  <si>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</si>
  <si>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</si>
  <si>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</si>
  <si>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Servicios Postales del Peru S.A.</t>
  </si>
  <si>
    <t>Banco Interamericano de Finanzas</t>
  </si>
  <si>
    <t>Sep</t>
  </si>
  <si>
    <t>Citibank</t>
  </si>
  <si>
    <t>DZ Bank AG, New York Branch</t>
  </si>
  <si>
    <t>Corporacion Peruana de Aeropuertos y Aviacion Comercial S.A.</t>
  </si>
  <si>
    <t>Petroleos del Peru</t>
  </si>
  <si>
    <t>Sumitomo Mitsui Banking Corporation</t>
  </si>
  <si>
    <t>Empresa Nacional de la Coca</t>
  </si>
  <si>
    <t xml:space="preserve"> 1/  Incluye: Bonos PETROPERU por US$ 3 000,0 millones.</t>
  </si>
  <si>
    <t>Citibank N.A.</t>
  </si>
  <si>
    <t>AL 31 DE DICIEMBRE 2021</t>
  </si>
  <si>
    <t>Al 31 de diciembre de 2021</t>
  </si>
  <si>
    <t>Período: De 2009 al 2021</t>
  </si>
  <si>
    <t xml:space="preserve"> 3/  Incluye: Bonos COFIDE por US$ 1 347,8 millones y Bonos Fondo MIVIVIENDA por US$ 1 025,2 millones.</t>
  </si>
  <si>
    <t xml:space="preserve"> 4/  Incluye: Bonos COFIDE por US$ 348,2 millones y Bonos Fondo MIVIVIENDA por US$ 200,2 millones.</t>
  </si>
  <si>
    <t>Banco Wiese Sudameris</t>
  </si>
  <si>
    <t>Servicios Postales del Perú S.A</t>
  </si>
</sst>
</file>

<file path=xl/styles.xml><?xml version="1.0" encoding="utf-8"?>
<styleSheet xmlns="http://schemas.openxmlformats.org/spreadsheetml/2006/main">
  <numFmts count="6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00"/>
    <numFmt numFmtId="219" formatCode="#,##0.00000;\-#,##0.00000"/>
    <numFmt numFmtId="220" formatCode="#,##0.000000_ ;\-#,##0.000000\ "/>
    <numFmt numFmtId="221" formatCode="#,##0.000000000"/>
    <numFmt numFmtId="222" formatCode="#,##0.0000000000_ ;\-#,##0.0000000000\ "/>
    <numFmt numFmtId="223" formatCode="#,##0.0000;\-#,##0.0000"/>
    <numFmt numFmtId="224" formatCode="#,##0_);\(#,##0\)"/>
  </numFmts>
  <fonts count="10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37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6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7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7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8" fontId="91" fillId="47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1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9" fontId="92" fillId="48" borderId="0" xfId="0" applyNumberFormat="1" applyFont="1" applyFill="1" applyAlignment="1">
      <alignment/>
    </xf>
    <xf numFmtId="201" fontId="92" fillId="48" borderId="0" xfId="0" applyNumberFormat="1" applyFont="1" applyFill="1" applyAlignment="1">
      <alignment/>
    </xf>
    <xf numFmtId="209" fontId="92" fillId="47" borderId="0" xfId="0" applyNumberFormat="1" applyFont="1" applyFill="1" applyAlignment="1">
      <alignment/>
    </xf>
    <xf numFmtId="180" fontId="92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6" fontId="77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6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2" fillId="48" borderId="0" xfId="0" applyNumberFormat="1" applyFont="1" applyFill="1" applyAlignment="1">
      <alignment/>
    </xf>
    <xf numFmtId="174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2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8" fontId="0" fillId="48" borderId="0" xfId="0" applyNumberFormat="1" applyFont="1" applyFill="1" applyAlignment="1">
      <alignment vertical="center"/>
    </xf>
    <xf numFmtId="217" fontId="92" fillId="48" borderId="0" xfId="0" applyNumberFormat="1" applyFont="1" applyFill="1" applyAlignment="1">
      <alignment/>
    </xf>
    <xf numFmtId="215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3" fontId="11" fillId="48" borderId="50" xfId="300" applyNumberFormat="1" applyFont="1" applyFill="1" applyBorder="1" applyAlignment="1">
      <alignment horizontal="right" vertical="center" indent="1"/>
    </xf>
    <xf numFmtId="3" fontId="33" fillId="48" borderId="0" xfId="300" applyNumberFormat="1" applyFont="1" applyFill="1" applyBorder="1" applyAlignment="1">
      <alignment horizontal="right" vertical="center" indent="1"/>
    </xf>
    <xf numFmtId="38" fontId="0" fillId="48" borderId="22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1" xfId="323" applyFont="1" applyFill="1" applyBorder="1" applyAlignment="1">
      <alignment horizontal="center" vertical="center"/>
      <protection/>
    </xf>
    <xf numFmtId="0" fontId="7" fillId="47" borderId="52" xfId="323" applyFont="1" applyFill="1" applyBorder="1">
      <alignment/>
      <protection/>
    </xf>
    <xf numFmtId="37" fontId="33" fillId="47" borderId="53" xfId="300" applyNumberFormat="1" applyFont="1" applyFill="1" applyBorder="1" applyAlignment="1">
      <alignment horizontal="right" vertical="center" wrapText="1" indent="1"/>
    </xf>
    <xf numFmtId="37" fontId="8" fillId="47" borderId="54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3" fontId="8" fillId="0" borderId="22" xfId="300" applyNumberFormat="1" applyFont="1" applyFill="1" applyBorder="1" applyAlignment="1">
      <alignment horizontal="right" vertical="center" indent="1"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0" fontId="8" fillId="47" borderId="55" xfId="323" applyFont="1" applyFill="1" applyBorder="1">
      <alignment/>
      <protection/>
    </xf>
    <xf numFmtId="215" fontId="96" fillId="48" borderId="0" xfId="0" applyNumberFormat="1" applyFont="1" applyFill="1" applyAlignment="1">
      <alignment/>
    </xf>
    <xf numFmtId="208" fontId="92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2" fillId="47" borderId="0" xfId="0" applyNumberFormat="1" applyFont="1" applyFill="1" applyBorder="1" applyAlignment="1">
      <alignment/>
    </xf>
    <xf numFmtId="220" fontId="92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9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56" xfId="0" applyFont="1" applyFill="1" applyBorder="1" applyAlignment="1">
      <alignment horizontal="center" vertical="center" wrapText="1"/>
    </xf>
    <xf numFmtId="3" fontId="11" fillId="48" borderId="56" xfId="300" applyNumberFormat="1" applyFont="1" applyFill="1" applyBorder="1" applyAlignment="1">
      <alignment horizontal="right" vertical="center" indent="1"/>
    </xf>
    <xf numFmtId="3" fontId="8" fillId="48" borderId="56" xfId="300" applyNumberFormat="1" applyFont="1" applyFill="1" applyBorder="1" applyAlignment="1">
      <alignment horizontal="right" vertical="center" indent="1"/>
    </xf>
    <xf numFmtId="3" fontId="33" fillId="48" borderId="56" xfId="300" applyNumberFormat="1" applyFont="1" applyFill="1" applyBorder="1" applyAlignment="1">
      <alignment horizontal="right" vertical="center" indent="1"/>
    </xf>
    <xf numFmtId="0" fontId="8" fillId="0" borderId="22" xfId="323" applyFont="1" applyBorder="1" applyAlignment="1">
      <alignment horizontal="left" vertical="center" indent="3"/>
      <protection/>
    </xf>
    <xf numFmtId="38" fontId="8" fillId="48" borderId="0" xfId="0" applyNumberFormat="1" applyFont="1" applyFill="1" applyAlignment="1">
      <alignment/>
    </xf>
    <xf numFmtId="221" fontId="96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5" xfId="323" applyNumberFormat="1" applyFont="1" applyFill="1" applyBorder="1">
      <alignment/>
      <protection/>
    </xf>
    <xf numFmtId="223" fontId="8" fillId="47" borderId="55" xfId="323" applyNumberFormat="1" applyFont="1" applyFill="1" applyBorder="1">
      <alignment/>
      <protection/>
    </xf>
    <xf numFmtId="0" fontId="8" fillId="48" borderId="0" xfId="0" applyFont="1" applyFill="1" applyBorder="1" applyAlignment="1">
      <alignment horizontal="left" vertical="center" indent="3"/>
    </xf>
    <xf numFmtId="0" fontId="8" fillId="0" borderId="19" xfId="323" applyFont="1" applyBorder="1" applyAlignment="1">
      <alignment horizontal="left" vertical="center" indent="3"/>
      <protection/>
    </xf>
    <xf numFmtId="0" fontId="11" fillId="48" borderId="21" xfId="0" applyFont="1" applyFill="1" applyBorder="1" applyAlignment="1">
      <alignment horizontal="center" vertical="center" wrapText="1"/>
    </xf>
    <xf numFmtId="215" fontId="99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174" fontId="97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4" fontId="0" fillId="47" borderId="0" xfId="0" applyNumberFormat="1" applyFont="1" applyFill="1" applyAlignment="1">
      <alignment horizontal="left" vertical="center" wrapTex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3" fillId="48" borderId="57" xfId="331" applyFont="1" applyFill="1" applyBorder="1" applyAlignment="1">
      <alignment horizontal="center" vertical="center"/>
      <protection/>
    </xf>
    <xf numFmtId="0" fontId="3" fillId="48" borderId="58" xfId="331" applyFont="1" applyFill="1" applyBorder="1" applyAlignment="1">
      <alignment horizontal="center" vertical="center"/>
      <protection/>
    </xf>
    <xf numFmtId="0" fontId="3" fillId="48" borderId="59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0" xfId="323" applyFont="1" applyFill="1" applyBorder="1" applyAlignment="1">
      <alignment horizontal="center" vertical="center"/>
      <protection/>
    </xf>
    <xf numFmtId="0" fontId="6" fillId="47" borderId="54" xfId="323" applyFont="1" applyFill="1" applyBorder="1" applyAlignment="1">
      <alignment horizontal="center" vertical="center"/>
      <protection/>
    </xf>
    <xf numFmtId="37" fontId="6" fillId="47" borderId="52" xfId="300" applyNumberFormat="1" applyFont="1" applyFill="1" applyBorder="1" applyAlignment="1">
      <alignment horizontal="right" vertical="center" wrapText="1" indent="1"/>
    </xf>
    <xf numFmtId="37" fontId="6" fillId="47" borderId="54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61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0" fontId="6" fillId="47" borderId="62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7" borderId="63" xfId="323" applyFont="1" applyFill="1" applyBorder="1" applyAlignment="1">
      <alignment horizontal="center" vertical="center" wrapText="1"/>
      <protection/>
    </xf>
    <xf numFmtId="0" fontId="6" fillId="47" borderId="64" xfId="323" applyFont="1" applyFill="1" applyBorder="1" applyAlignment="1">
      <alignment horizontal="center" vertical="center" wrapText="1"/>
      <protection/>
    </xf>
    <xf numFmtId="0" fontId="6" fillId="47" borderId="65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66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11" fillId="48" borderId="67" xfId="0" applyFont="1" applyFill="1" applyBorder="1" applyAlignment="1">
      <alignment horizontal="center" vertical="center" wrapText="1"/>
    </xf>
    <xf numFmtId="0" fontId="11" fillId="48" borderId="68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69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70" xfId="300" applyNumberFormat="1" applyFont="1" applyFill="1" applyBorder="1" applyAlignment="1">
      <alignment horizontal="right" vertical="center" indent="1"/>
    </xf>
    <xf numFmtId="3" fontId="6" fillId="48" borderId="71" xfId="300" applyNumberFormat="1" applyFont="1" applyFill="1" applyBorder="1" applyAlignment="1">
      <alignment horizontal="right" vertical="center" indent="1"/>
    </xf>
    <xf numFmtId="0" fontId="11" fillId="48" borderId="72" xfId="0" applyFont="1" applyFill="1" applyBorder="1" applyAlignment="1">
      <alignment horizontal="center" vertical="center" wrapText="1"/>
    </xf>
    <xf numFmtId="0" fontId="11" fillId="48" borderId="73" xfId="0" applyFont="1" applyFill="1" applyBorder="1" applyAlignment="1">
      <alignment horizontal="center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67" xfId="0" applyFont="1" applyFill="1" applyBorder="1" applyAlignment="1">
      <alignment horizontal="center" vertical="center" wrapText="1"/>
    </xf>
    <xf numFmtId="0" fontId="6" fillId="48" borderId="68" xfId="0" applyFont="1" applyFill="1" applyBorder="1" applyAlignment="1">
      <alignment horizontal="center" vertical="center" wrapText="1"/>
    </xf>
    <xf numFmtId="0" fontId="11" fillId="48" borderId="74" xfId="0" applyFont="1" applyFill="1" applyBorder="1" applyAlignment="1">
      <alignment horizontal="center" vertical="center" wrapText="1"/>
    </xf>
    <xf numFmtId="0" fontId="11" fillId="48" borderId="75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7402.06335374</c:v>
                </c:pt>
                <c:pt idx="1">
                  <c:v>2166.44417054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3843.41555427</c:v>
                </c:pt>
                <c:pt idx="1">
                  <c:v>5725.09197001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8717.27714948</c:v>
                </c:pt>
                <c:pt idx="1">
                  <c:v>851.2303747999999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3647.0996768600003</c:v>
                </c:pt>
                <c:pt idx="1">
                  <c:v>5921.40784742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5921.40784742</c:v>
                </c:pt>
                <c:pt idx="1">
                  <c:v>2185.56457717</c:v>
                </c:pt>
                <c:pt idx="2">
                  <c:v>540.3826773</c:v>
                </c:pt>
                <c:pt idx="3">
                  <c:v>409.54909127999997</c:v>
                </c:pt>
                <c:pt idx="4">
                  <c:v>511.6033311100001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7297.8451104099995</c:v>
                </c:pt>
                <c:pt idx="1">
                  <c:v>1840.38779011</c:v>
                </c:pt>
                <c:pt idx="2">
                  <c:v>193.11447075</c:v>
                </c:pt>
                <c:pt idx="3">
                  <c:v>237.16015301000002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5"/>
          <c:y val="0.136"/>
          <c:w val="0.776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'DEP-C1'!$C$12:$AK$13</c:f>
              <c:multiLvlStrCache/>
            </c:multiLvlStrRef>
          </c:cat>
          <c:val>
            <c:numRef>
              <c:f>'DEP-C1'!$C$15:$AK$15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'DEP-C1'!$C$12:$AK$13</c:f>
              <c:multiLvlStrCache/>
            </c:multiLvlStrRef>
          </c:cat>
          <c:val>
            <c:numRef>
              <c:f>'DEP-C1'!$C$16:$AK$16</c:f>
              <c:numCache/>
            </c:numRef>
          </c:val>
        </c:ser>
        <c:axId val="4085501"/>
        <c:axId val="36769510"/>
      </c:bar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9510"/>
        <c:crosses val="autoZero"/>
        <c:auto val="1"/>
        <c:lblOffset val="100"/>
        <c:tickLblSkip val="1"/>
        <c:noMultiLvlLbl val="0"/>
      </c:catAx>
      <c:valAx>
        <c:axId val="3676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375"/>
          <c:w val="0.19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122021.xls#Indice!B6" /><Relationship Id="rId3" Type="http://schemas.openxmlformats.org/officeDocument/2006/relationships/hyperlink" Target="#Reporte_Deuda_Empresas_SG_31122021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122021.xls#Indice!B6" /><Relationship Id="rId3" Type="http://schemas.openxmlformats.org/officeDocument/2006/relationships/hyperlink" Target="#Reporte_Deuda_Empresas_SG_31122021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122021.xls#Indice!B6" /><Relationship Id="rId3" Type="http://schemas.openxmlformats.org/officeDocument/2006/relationships/hyperlink" Target="#Reporte_Deuda_Empresas_SG_31122021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122021.xls#Indice!B6" /><Relationship Id="rId3" Type="http://schemas.openxmlformats.org/officeDocument/2006/relationships/hyperlink" Target="#Reporte_Deuda_Empresas_SG_31122021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2.jpeg" /><Relationship Id="rId6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122021.xls#Indice!B6" /><Relationship Id="rId3" Type="http://schemas.openxmlformats.org/officeDocument/2006/relationships/hyperlink" Target="#Reporte_Deuda_Empresas_SG_31122021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5.jpeg" /><Relationship Id="rId6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4.jpeg" /><Relationship Id="rId8" Type="http://schemas.openxmlformats.org/officeDocument/2006/relationships/hyperlink" Target="#Reporte_Deuda_Empresas_SG_31122021.xls#Indice!B6" /><Relationship Id="rId9" Type="http://schemas.openxmlformats.org/officeDocument/2006/relationships/hyperlink" Target="#Reporte_Deuda_Empresas_SG_31122021.xls#Indice!B6" /><Relationship Id="rId10" Type="http://schemas.openxmlformats.org/officeDocument/2006/relationships/image" Target="../media/image1.png" /><Relationship Id="rId11" Type="http://schemas.openxmlformats.org/officeDocument/2006/relationships/image" Target="../media/image2.jpeg" /><Relationship Id="rId1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4.jpeg" /><Relationship Id="rId3" Type="http://schemas.openxmlformats.org/officeDocument/2006/relationships/hyperlink" Target="#Reporte_Deuda_Empresas_SG_31122021.xls#Indice!B6" /><Relationship Id="rId4" Type="http://schemas.openxmlformats.org/officeDocument/2006/relationships/hyperlink" Target="#Reporte_Deuda_Empresas_SG_31122021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122021.xls#Indice!B6" /><Relationship Id="rId3" Type="http://schemas.openxmlformats.org/officeDocument/2006/relationships/hyperlink" Target="#Reporte_Deuda_Empresas_SG_31122021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122021.xls#Indice!B6" /><Relationship Id="rId3" Type="http://schemas.openxmlformats.org/officeDocument/2006/relationships/hyperlink" Target="#Reporte_Deuda_Empresas_SG_31122021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122021.xls#Indice!B6" /><Relationship Id="rId3" Type="http://schemas.openxmlformats.org/officeDocument/2006/relationships/hyperlink" Target="#Reporte_Deuda_Empresas_SG_31122021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Reporte_Deuda_Empresas_SG_31122021.xls#Indice!B6" /><Relationship Id="rId3" Type="http://schemas.openxmlformats.org/officeDocument/2006/relationships/hyperlink" Target="#Reporte_Deuda_Empresas_SG_31122021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66675</xdr:rowOff>
    </xdr:from>
    <xdr:to>
      <xdr:col>10</xdr:col>
      <xdr:colOff>238125</xdr:colOff>
      <xdr:row>4</xdr:row>
      <xdr:rowOff>95250</xdr:rowOff>
    </xdr:to>
    <xdr:pic>
      <xdr:nvPicPr>
        <xdr:cNvPr id="2" name="Imagen 4" descr="image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66675"/>
          <a:ext cx="1800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0</xdr:row>
      <xdr:rowOff>66675</xdr:rowOff>
    </xdr:from>
    <xdr:to>
      <xdr:col>7</xdr:col>
      <xdr:colOff>342900</xdr:colOff>
      <xdr:row>4</xdr:row>
      <xdr:rowOff>38100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6667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5543550</xdr:colOff>
      <xdr:row>0</xdr:row>
      <xdr:rowOff>123825</xdr:rowOff>
    </xdr:from>
    <xdr:to>
      <xdr:col>1</xdr:col>
      <xdr:colOff>5876925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23825"/>
          <a:ext cx="3333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0</xdr:row>
      <xdr:rowOff>57150</xdr:rowOff>
    </xdr:from>
    <xdr:to>
      <xdr:col>9</xdr:col>
      <xdr:colOff>647700</xdr:colOff>
      <xdr:row>5</xdr:row>
      <xdr:rowOff>28575</xdr:rowOff>
    </xdr:to>
    <xdr:pic>
      <xdr:nvPicPr>
        <xdr:cNvPr id="3" name="Imagen 4" descr="image0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0" y="57150"/>
          <a:ext cx="1800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57150</xdr:rowOff>
    </xdr:from>
    <xdr:to>
      <xdr:col>7</xdr:col>
      <xdr:colOff>47625</xdr:colOff>
      <xdr:row>4</xdr:row>
      <xdr:rowOff>123825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34100" y="57150"/>
          <a:ext cx="1066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447675</xdr:colOff>
      <xdr:row>0</xdr:row>
      <xdr:rowOff>47625</xdr:rowOff>
    </xdr:from>
    <xdr:to>
      <xdr:col>6</xdr:col>
      <xdr:colOff>1533525</xdr:colOff>
      <xdr:row>3</xdr:row>
      <xdr:rowOff>123825</xdr:rowOff>
    </xdr:to>
    <xdr:pic>
      <xdr:nvPicPr>
        <xdr:cNvPr id="3" name="Imagen 3" descr="image0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91225" y="4762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0</xdr:row>
      <xdr:rowOff>57150</xdr:rowOff>
    </xdr:from>
    <xdr:to>
      <xdr:col>10</xdr:col>
      <xdr:colOff>0</xdr:colOff>
      <xdr:row>3</xdr:row>
      <xdr:rowOff>200025</xdr:rowOff>
    </xdr:to>
    <xdr:pic>
      <xdr:nvPicPr>
        <xdr:cNvPr id="4" name="Imagen 4" descr="image0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24925" y="57150"/>
          <a:ext cx="1800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0</xdr:row>
      <xdr:rowOff>66675</xdr:rowOff>
    </xdr:from>
    <xdr:to>
      <xdr:col>8</xdr:col>
      <xdr:colOff>666750</xdr:colOff>
      <xdr:row>3</xdr:row>
      <xdr:rowOff>171450</xdr:rowOff>
    </xdr:to>
    <xdr:pic>
      <xdr:nvPicPr>
        <xdr:cNvPr id="9" name="Imagen 4" descr="image00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81925" y="66675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6</xdr:col>
      <xdr:colOff>1333500</xdr:colOff>
      <xdr:row>3</xdr:row>
      <xdr:rowOff>142875</xdr:rowOff>
    </xdr:to>
    <xdr:pic>
      <xdr:nvPicPr>
        <xdr:cNvPr id="10" name="Imagen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00800" y="66675"/>
          <a:ext cx="1085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27</xdr:col>
      <xdr:colOff>390525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15347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552450</xdr:colOff>
      <xdr:row>0</xdr:row>
      <xdr:rowOff>95250</xdr:rowOff>
    </xdr:from>
    <xdr:to>
      <xdr:col>18</xdr:col>
      <xdr:colOff>123825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95250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17</xdr:col>
      <xdr:colOff>485775</xdr:colOff>
      <xdr:row>2</xdr:row>
      <xdr:rowOff>95250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8575"/>
          <a:ext cx="5867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2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26" t="str">
        <f>+Portada!$B$6</f>
        <v>DEUDA DE LAS EMPRESAS PÚBLICAS</v>
      </c>
      <c r="C6" s="526"/>
      <c r="D6" s="526"/>
      <c r="E6" s="526"/>
      <c r="F6" s="526"/>
      <c r="G6" s="526"/>
    </row>
    <row r="7" spans="2:7" s="4" customFormat="1" ht="24.75" customHeight="1">
      <c r="B7" s="527" t="s">
        <v>258</v>
      </c>
      <c r="C7" s="527"/>
      <c r="D7" s="527"/>
      <c r="E7" s="527"/>
      <c r="F7" s="527"/>
      <c r="G7" s="527"/>
    </row>
    <row r="8" spans="2:5" s="4" customFormat="1" ht="15.75" customHeight="1">
      <c r="B8" s="249"/>
      <c r="C8" s="249"/>
      <c r="D8" s="504"/>
      <c r="E8" s="130"/>
    </row>
    <row r="9" spans="2:5" ht="19.5" customHeight="1">
      <c r="B9" s="86"/>
      <c r="C9" s="86"/>
      <c r="D9" s="406" t="s">
        <v>67</v>
      </c>
      <c r="E9" s="86"/>
    </row>
    <row r="10" spans="2:5" s="7" customFormat="1" ht="19.5" customHeight="1">
      <c r="B10" s="183"/>
      <c r="C10" s="183"/>
      <c r="D10" s="406" t="s">
        <v>174</v>
      </c>
      <c r="E10" s="71"/>
    </row>
    <row r="11" spans="2:5" s="7" customFormat="1" ht="19.5" customHeight="1">
      <c r="B11" s="184"/>
      <c r="C11" s="183"/>
      <c r="D11" s="406" t="s">
        <v>175</v>
      </c>
      <c r="E11" s="71"/>
    </row>
    <row r="12" spans="2:5" s="7" customFormat="1" ht="9.75" customHeight="1">
      <c r="B12" s="184"/>
      <c r="C12" s="183"/>
      <c r="D12" s="317"/>
      <c r="E12" s="71"/>
    </row>
    <row r="13" spans="2:8" s="7" customFormat="1" ht="19.5" customHeight="1">
      <c r="B13" s="183" t="s">
        <v>11</v>
      </c>
      <c r="C13" s="183" t="s">
        <v>8</v>
      </c>
      <c r="D13" s="525" t="s">
        <v>216</v>
      </c>
      <c r="E13" s="525"/>
      <c r="F13" s="525"/>
      <c r="G13" s="525"/>
      <c r="H13" s="525"/>
    </row>
    <row r="14" spans="2:6" s="7" customFormat="1" ht="19.5" customHeight="1">
      <c r="B14" s="183" t="s">
        <v>12</v>
      </c>
      <c r="C14" s="183" t="s">
        <v>8</v>
      </c>
      <c r="D14" s="525" t="s">
        <v>153</v>
      </c>
      <c r="E14" s="525"/>
      <c r="F14" s="525"/>
    </row>
    <row r="15" spans="2:6" s="7" customFormat="1" ht="19.5" customHeight="1">
      <c r="B15" s="183" t="s">
        <v>13</v>
      </c>
      <c r="C15" s="183" t="s">
        <v>8</v>
      </c>
      <c r="D15" s="528" t="s">
        <v>37</v>
      </c>
      <c r="E15" s="528"/>
      <c r="F15" s="528"/>
    </row>
    <row r="16" spans="2:6" s="7" customFormat="1" ht="19.5" customHeight="1">
      <c r="B16" s="183" t="s">
        <v>14</v>
      </c>
      <c r="C16" s="183" t="s">
        <v>8</v>
      </c>
      <c r="D16" s="528" t="s">
        <v>32</v>
      </c>
      <c r="E16" s="528"/>
      <c r="F16" s="528"/>
    </row>
    <row r="17" spans="2:6" s="7" customFormat="1" ht="19.5" customHeight="1">
      <c r="B17" s="183" t="s">
        <v>91</v>
      </c>
      <c r="C17" s="183" t="s">
        <v>8</v>
      </c>
      <c r="D17" s="528" t="s">
        <v>1</v>
      </c>
      <c r="E17" s="528"/>
      <c r="F17" s="528"/>
    </row>
    <row r="18" spans="2:6" s="7" customFormat="1" ht="19.5" customHeight="1">
      <c r="B18" s="183" t="s">
        <v>60</v>
      </c>
      <c r="C18" s="183" t="s">
        <v>8</v>
      </c>
      <c r="D18" s="528" t="s">
        <v>58</v>
      </c>
      <c r="E18" s="528"/>
      <c r="F18" s="528"/>
    </row>
    <row r="19" spans="2:6" s="7" customFormat="1" ht="19.5" customHeight="1">
      <c r="B19" s="183" t="s">
        <v>15</v>
      </c>
      <c r="C19" s="183" t="s">
        <v>8</v>
      </c>
      <c r="D19" s="528" t="s">
        <v>105</v>
      </c>
      <c r="E19" s="528"/>
      <c r="F19" s="528"/>
    </row>
    <row r="20" spans="2:6" s="7" customFormat="1" ht="19.5" customHeight="1">
      <c r="B20" s="183" t="s">
        <v>16</v>
      </c>
      <c r="C20" s="183" t="s">
        <v>8</v>
      </c>
      <c r="D20" s="528" t="s">
        <v>59</v>
      </c>
      <c r="E20" s="528"/>
      <c r="F20" s="528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122021.xls#Resumen!B5" display="CUADROS RESUMEN"/>
    <hyperlink ref="D11" location="Reporte_Deuda_Empresas_SG_31122021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122021.xls#Portada!B6" display="PORTADA"/>
    <hyperlink ref="D19" location="'Grupo Acreedor'!A1" display="POR GRUPO DEL ACREEDOR"/>
    <hyperlink ref="D14:F14" location="Reporte_Deuda_Empresas_SG_31122021.xls#'DEP-C2'!B5" display="POR TIPO DE DEUDA Y TIPO DE EMPRESA"/>
    <hyperlink ref="D16:F16" location="'DEP-C4'!B5" display="POR TIPO DE EMPRESA Y ACREEDOR"/>
    <hyperlink ref="D15:F15" location="Reporte_Deuda_Empresas_SG_31122021.xls#'DEP-C3'!B5" display="POR TIPO DE MONEDA"/>
    <hyperlink ref="D17:F17" location="Reporte_Deuda_Empresas_SG_31122021.xls#'DEP-C5'!B5" display="POR GRUPO EMPRESARIAL DEL DEUDOR"/>
    <hyperlink ref="D18:F18" location="Reporte_Deuda_Empresas_SG_31122021.xls#'DEP-C6'!B5" display="POR GRUPO EMPRESARIAL Y ENTIDAD DEUDORA"/>
    <hyperlink ref="D19:F19" location="Reporte_Deuda_Empresas_SG_31122021.xls#'DEP-C7'!B5" display="POR TIPO DE EMPRESA Y GRUPO DEL ACREEDOR "/>
    <hyperlink ref="D13:F13" r:id="rId1" display="EVOLUCIÓN DE LA DEUDA DE LAS EMPRESAS PÚBLICAS"/>
    <hyperlink ref="D13:H13" location="Reporte_Deuda_Empresas_SG_31122021.xls#'DEP-C1'!B5" display="EVOLUCIÓN DE LA DEUDA DE LAS EMPRESAS PÚBLICAS - POR TIPO DE DEUDA"/>
    <hyperlink ref="D20:F20" location="Reporte_Deuda_Empresas_SG_31122021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4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24.75" customHeight="1">
      <c r="B4" s="103"/>
      <c r="C4" s="103"/>
    </row>
    <row r="5" spans="2:5" ht="18">
      <c r="B5" s="129" t="s">
        <v>60</v>
      </c>
      <c r="C5" s="129"/>
      <c r="D5" s="129"/>
      <c r="E5" s="129"/>
    </row>
    <row r="6" spans="2:6" s="89" customFormat="1" ht="18.75">
      <c r="B6" s="319" t="s">
        <v>136</v>
      </c>
      <c r="C6" s="319"/>
      <c r="D6" s="319"/>
      <c r="E6" s="319"/>
      <c r="F6" s="88"/>
    </row>
    <row r="7" spans="2:6" s="89" customFormat="1" ht="18.75">
      <c r="B7" s="319" t="s">
        <v>135</v>
      </c>
      <c r="C7" s="319"/>
      <c r="D7" s="319"/>
      <c r="E7" s="264"/>
      <c r="F7" s="88"/>
    </row>
    <row r="8" spans="2:6" s="89" customFormat="1" ht="18.75">
      <c r="B8" s="343" t="s">
        <v>58</v>
      </c>
      <c r="C8" s="363"/>
      <c r="D8" s="363"/>
      <c r="E8" s="363"/>
      <c r="F8" s="88"/>
    </row>
    <row r="9" spans="2:6" s="89" customFormat="1" ht="18.75">
      <c r="B9" s="133" t="str">
        <f>+'DEP-C2'!B9</f>
        <v>Al 31 de diciembre de 2021</v>
      </c>
      <c r="C9" s="364"/>
      <c r="D9" s="269"/>
      <c r="E9" s="269"/>
      <c r="F9" s="318">
        <f>+Portada!H39</f>
        <v>3.998</v>
      </c>
    </row>
    <row r="10" spans="2:5" ht="9.75" customHeight="1">
      <c r="B10" s="602"/>
      <c r="C10" s="602"/>
      <c r="D10" s="602"/>
      <c r="E10" s="602"/>
    </row>
    <row r="11" spans="2:5" ht="18" customHeight="1">
      <c r="B11" s="600" t="s">
        <v>96</v>
      </c>
      <c r="C11" s="600" t="s">
        <v>26</v>
      </c>
      <c r="D11" s="611" t="s">
        <v>87</v>
      </c>
      <c r="E11" s="612" t="s">
        <v>164</v>
      </c>
    </row>
    <row r="12" spans="2:6" s="81" customFormat="1" ht="18" customHeight="1">
      <c r="B12" s="601"/>
      <c r="C12" s="601"/>
      <c r="D12" s="595"/>
      <c r="E12" s="613"/>
      <c r="F12" s="90"/>
    </row>
    <row r="13" spans="2:6" s="81" customFormat="1" ht="9.75" customHeight="1">
      <c r="B13" s="110"/>
      <c r="C13" s="267"/>
      <c r="D13" s="94"/>
      <c r="E13" s="270"/>
      <c r="F13" s="90"/>
    </row>
    <row r="14" spans="2:6" s="65" customFormat="1" ht="16.5" customHeight="1">
      <c r="B14" s="369" t="s">
        <v>217</v>
      </c>
      <c r="C14" s="370"/>
      <c r="D14" s="474">
        <f>SUM(D15:D27)</f>
        <v>4357315.831020002</v>
      </c>
      <c r="E14" s="381">
        <f>SUM(E15:E27)</f>
        <v>17420548.69241797</v>
      </c>
      <c r="F14" s="71"/>
    </row>
    <row r="15" spans="2:6" s="65" customFormat="1" ht="16.5" customHeight="1">
      <c r="B15" s="93" t="s">
        <v>211</v>
      </c>
      <c r="C15" s="83" t="s">
        <v>92</v>
      </c>
      <c r="D15" s="475">
        <v>2255085.1985200024</v>
      </c>
      <c r="E15" s="382">
        <f aca="true" t="shared" si="0" ref="E15:E27">ROUND(D15*$F$9,8)</f>
        <v>9015830.62368297</v>
      </c>
      <c r="F15" s="71"/>
    </row>
    <row r="16" spans="2:6" s="65" customFormat="1" ht="16.5" customHeight="1">
      <c r="B16" s="93" t="s">
        <v>170</v>
      </c>
      <c r="C16" s="83" t="s">
        <v>92</v>
      </c>
      <c r="D16" s="475">
        <v>1571178.9228699997</v>
      </c>
      <c r="E16" s="382">
        <f t="shared" si="0"/>
        <v>6281573.33363426</v>
      </c>
      <c r="F16" s="71"/>
    </row>
    <row r="17" spans="2:6" s="65" customFormat="1" ht="16.5" customHeight="1">
      <c r="B17" s="93" t="s">
        <v>209</v>
      </c>
      <c r="C17" s="83" t="s">
        <v>93</v>
      </c>
      <c r="D17" s="475">
        <v>451457.15054999996</v>
      </c>
      <c r="E17" s="382">
        <f t="shared" si="0"/>
        <v>1804925.6878989</v>
      </c>
      <c r="F17" s="71"/>
    </row>
    <row r="18" spans="2:6" s="65" customFormat="1" ht="16.5" customHeight="1">
      <c r="B18" s="93" t="s">
        <v>124</v>
      </c>
      <c r="C18" s="83" t="s">
        <v>92</v>
      </c>
      <c r="D18" s="475">
        <v>17151.43288</v>
      </c>
      <c r="E18" s="382">
        <f t="shared" si="0"/>
        <v>68571.42865424</v>
      </c>
      <c r="F18" s="71"/>
    </row>
    <row r="19" spans="2:6" s="65" customFormat="1" ht="16.5" customHeight="1">
      <c r="B19" s="93" t="s">
        <v>169</v>
      </c>
      <c r="C19" s="83" t="s">
        <v>93</v>
      </c>
      <c r="D19" s="475">
        <v>16952.11248</v>
      </c>
      <c r="E19" s="382">
        <f t="shared" si="0"/>
        <v>67774.54569504</v>
      </c>
      <c r="F19" s="71"/>
    </row>
    <row r="20" spans="2:6" s="65" customFormat="1" ht="16.5" customHeight="1">
      <c r="B20" s="93" t="s">
        <v>195</v>
      </c>
      <c r="C20" s="83" t="s">
        <v>93</v>
      </c>
      <c r="D20" s="475">
        <v>14206.08389</v>
      </c>
      <c r="E20" s="382">
        <f t="shared" si="0"/>
        <v>56795.92339222</v>
      </c>
      <c r="F20" s="71"/>
    </row>
    <row r="21" spans="2:6" s="65" customFormat="1" ht="16.5" customHeight="1">
      <c r="B21" s="93" t="s">
        <v>168</v>
      </c>
      <c r="C21" s="83" t="s">
        <v>93</v>
      </c>
      <c r="D21" s="475">
        <v>12467.72097</v>
      </c>
      <c r="E21" s="382">
        <f t="shared" si="0"/>
        <v>49845.94843806</v>
      </c>
      <c r="F21" s="71"/>
    </row>
    <row r="22" spans="2:6" s="65" customFormat="1" ht="16.5" customHeight="1">
      <c r="B22" s="93" t="s">
        <v>194</v>
      </c>
      <c r="C22" s="83" t="s">
        <v>93</v>
      </c>
      <c r="D22" s="475">
        <v>10806.59055</v>
      </c>
      <c r="E22" s="382">
        <f t="shared" si="0"/>
        <v>43204.7490189</v>
      </c>
      <c r="F22" s="71"/>
    </row>
    <row r="23" spans="2:6" s="65" customFormat="1" ht="16.5" customHeight="1">
      <c r="B23" s="93" t="s">
        <v>193</v>
      </c>
      <c r="C23" s="83" t="s">
        <v>93</v>
      </c>
      <c r="D23" s="475">
        <v>3210.6919199999998</v>
      </c>
      <c r="E23" s="382">
        <f t="shared" si="0"/>
        <v>12836.34629616</v>
      </c>
      <c r="F23" s="71"/>
    </row>
    <row r="24" spans="2:6" s="65" customFormat="1" ht="16.5" customHeight="1">
      <c r="B24" s="93" t="s">
        <v>237</v>
      </c>
      <c r="C24" s="83" t="s">
        <v>93</v>
      </c>
      <c r="D24" s="475">
        <v>1814.51508</v>
      </c>
      <c r="E24" s="382">
        <f t="shared" si="0"/>
        <v>7254.43128984</v>
      </c>
      <c r="F24" s="71"/>
    </row>
    <row r="25" spans="2:6" s="65" customFormat="1" ht="16.5" customHeight="1">
      <c r="B25" s="66" t="s">
        <v>158</v>
      </c>
      <c r="C25" s="83" t="s">
        <v>93</v>
      </c>
      <c r="D25" s="475">
        <v>1509.3367</v>
      </c>
      <c r="E25" s="382">
        <f t="shared" si="0"/>
        <v>6034.3281266</v>
      </c>
      <c r="F25" s="71"/>
    </row>
    <row r="26" spans="2:6" s="65" customFormat="1" ht="16.5" customHeight="1">
      <c r="B26" s="66" t="s">
        <v>196</v>
      </c>
      <c r="C26" s="83" t="s">
        <v>93</v>
      </c>
      <c r="D26" s="475">
        <v>975.82448</v>
      </c>
      <c r="E26" s="382">
        <f>ROUND(D26*$F$9,8)</f>
        <v>3901.34627104</v>
      </c>
      <c r="F26" s="71"/>
    </row>
    <row r="27" spans="2:6" s="65" customFormat="1" ht="16.5" customHeight="1">
      <c r="B27" s="93" t="s">
        <v>255</v>
      </c>
      <c r="C27" s="83" t="s">
        <v>93</v>
      </c>
      <c r="D27" s="475">
        <v>500.25013</v>
      </c>
      <c r="E27" s="382">
        <f t="shared" si="0"/>
        <v>2000.00001974</v>
      </c>
      <c r="F27" s="71"/>
    </row>
    <row r="28" spans="2:6" s="65" customFormat="1" ht="12" customHeight="1">
      <c r="B28" s="93"/>
      <c r="C28" s="83"/>
      <c r="D28" s="475"/>
      <c r="E28" s="382"/>
      <c r="F28" s="71"/>
    </row>
    <row r="29" spans="2:7" s="65" customFormat="1" ht="16.5" customHeight="1">
      <c r="B29" s="369" t="s">
        <v>115</v>
      </c>
      <c r="C29" s="370"/>
      <c r="D29" s="474">
        <f>SUM(D30:D43)</f>
        <v>59961.31845999999</v>
      </c>
      <c r="E29" s="381">
        <f>SUM(E30:E43)</f>
        <v>239725.35120307998</v>
      </c>
      <c r="F29" s="91"/>
      <c r="G29" s="91"/>
    </row>
    <row r="30" spans="2:9" s="92" customFormat="1" ht="16.5" customHeight="1">
      <c r="B30" s="93" t="s">
        <v>199</v>
      </c>
      <c r="C30" s="83" t="s">
        <v>93</v>
      </c>
      <c r="D30" s="475">
        <v>32450.83947</v>
      </c>
      <c r="E30" s="382">
        <f aca="true" t="shared" si="1" ref="E30:E43">ROUND(D30*$F$9,8)</f>
        <v>129738.45620106</v>
      </c>
      <c r="F30" s="91"/>
      <c r="G30" s="91"/>
      <c r="H30" s="65"/>
      <c r="I30" s="65"/>
    </row>
    <row r="31" spans="2:9" s="92" customFormat="1" ht="16.5" customHeight="1">
      <c r="B31" s="93" t="s">
        <v>208</v>
      </c>
      <c r="C31" s="83" t="s">
        <v>93</v>
      </c>
      <c r="D31" s="475">
        <v>4824.20993</v>
      </c>
      <c r="E31" s="382">
        <f t="shared" si="1"/>
        <v>19287.19130014</v>
      </c>
      <c r="F31" s="91"/>
      <c r="G31" s="91"/>
      <c r="H31" s="65"/>
      <c r="I31" s="65"/>
    </row>
    <row r="32" spans="2:9" s="92" customFormat="1" ht="16.5" customHeight="1">
      <c r="B32" s="93" t="s">
        <v>197</v>
      </c>
      <c r="C32" s="83" t="s">
        <v>93</v>
      </c>
      <c r="D32" s="475">
        <v>4436.0570099999995</v>
      </c>
      <c r="E32" s="382">
        <f t="shared" si="1"/>
        <v>17735.35592598</v>
      </c>
      <c r="F32" s="91"/>
      <c r="G32" s="91"/>
      <c r="H32" s="65"/>
      <c r="I32" s="65"/>
    </row>
    <row r="33" spans="2:9" s="92" customFormat="1" ht="16.5" customHeight="1">
      <c r="B33" s="66" t="s">
        <v>206</v>
      </c>
      <c r="C33" s="83" t="s">
        <v>93</v>
      </c>
      <c r="D33" s="475">
        <v>3930.2531200000003</v>
      </c>
      <c r="E33" s="382">
        <f t="shared" si="1"/>
        <v>15713.15197376</v>
      </c>
      <c r="F33" s="91"/>
      <c r="G33" s="91"/>
      <c r="H33" s="65"/>
      <c r="I33" s="65"/>
    </row>
    <row r="34" spans="2:9" s="92" customFormat="1" ht="16.5" customHeight="1">
      <c r="B34" s="66" t="s">
        <v>69</v>
      </c>
      <c r="C34" s="83" t="s">
        <v>93</v>
      </c>
      <c r="D34" s="475">
        <v>3396.1661400000003</v>
      </c>
      <c r="E34" s="382">
        <f t="shared" si="1"/>
        <v>13577.87222772</v>
      </c>
      <c r="F34" s="91"/>
      <c r="G34" s="91"/>
      <c r="H34" s="65"/>
      <c r="I34" s="65"/>
    </row>
    <row r="35" spans="2:9" s="92" customFormat="1" ht="16.5" customHeight="1">
      <c r="B35" s="93" t="s">
        <v>198</v>
      </c>
      <c r="C35" s="83" t="s">
        <v>93</v>
      </c>
      <c r="D35" s="475">
        <v>3266.9237200000002</v>
      </c>
      <c r="E35" s="382">
        <f t="shared" si="1"/>
        <v>13061.16103256</v>
      </c>
      <c r="F35" s="91"/>
      <c r="G35" s="91"/>
      <c r="H35" s="65"/>
      <c r="I35" s="65"/>
    </row>
    <row r="36" spans="2:9" s="92" customFormat="1" ht="16.5" customHeight="1">
      <c r="B36" s="66" t="s">
        <v>44</v>
      </c>
      <c r="C36" s="83" t="s">
        <v>93</v>
      </c>
      <c r="D36" s="475">
        <v>2193.13358</v>
      </c>
      <c r="E36" s="382">
        <f t="shared" si="1"/>
        <v>8768.14805284</v>
      </c>
      <c r="F36" s="91"/>
      <c r="G36" s="91"/>
      <c r="H36" s="65"/>
      <c r="I36" s="65"/>
    </row>
    <row r="37" spans="2:9" s="92" customFormat="1" ht="16.5" customHeight="1">
      <c r="B37" s="66" t="s">
        <v>49</v>
      </c>
      <c r="C37" s="83" t="s">
        <v>93</v>
      </c>
      <c r="D37" s="475">
        <v>1878.96866</v>
      </c>
      <c r="E37" s="382">
        <f t="shared" si="1"/>
        <v>7512.11670268</v>
      </c>
      <c r="F37" s="91"/>
      <c r="G37" s="91"/>
      <c r="H37" s="65"/>
      <c r="I37" s="65"/>
    </row>
    <row r="38" spans="2:9" s="92" customFormat="1" ht="16.5" customHeight="1">
      <c r="B38" s="66" t="s">
        <v>51</v>
      </c>
      <c r="C38" s="83" t="s">
        <v>93</v>
      </c>
      <c r="D38" s="475">
        <v>1363.5503899999999</v>
      </c>
      <c r="E38" s="382">
        <f t="shared" si="1"/>
        <v>5451.47445922</v>
      </c>
      <c r="F38" s="91"/>
      <c r="G38" s="91"/>
      <c r="H38" s="65"/>
      <c r="I38" s="65"/>
    </row>
    <row r="39" spans="2:9" s="92" customFormat="1" ht="16.5" customHeight="1">
      <c r="B39" s="66" t="s">
        <v>42</v>
      </c>
      <c r="C39" s="83" t="s">
        <v>93</v>
      </c>
      <c r="D39" s="475">
        <v>911.47554</v>
      </c>
      <c r="E39" s="382">
        <f t="shared" si="1"/>
        <v>3644.07920892</v>
      </c>
      <c r="F39" s="91"/>
      <c r="G39" s="91"/>
      <c r="H39" s="65"/>
      <c r="I39" s="65"/>
    </row>
    <row r="40" spans="2:9" s="92" customFormat="1" ht="16.5" customHeight="1">
      <c r="B40" s="66" t="s">
        <v>207</v>
      </c>
      <c r="C40" s="83" t="s">
        <v>93</v>
      </c>
      <c r="D40" s="475">
        <v>512.58883</v>
      </c>
      <c r="E40" s="382">
        <f t="shared" si="1"/>
        <v>2049.33014234</v>
      </c>
      <c r="F40" s="91"/>
      <c r="G40" s="91"/>
      <c r="H40" s="65"/>
      <c r="I40" s="65"/>
    </row>
    <row r="41" spans="2:9" s="92" customFormat="1" ht="16.5" customHeight="1">
      <c r="B41" s="66" t="s">
        <v>228</v>
      </c>
      <c r="C41" s="83" t="s">
        <v>93</v>
      </c>
      <c r="D41" s="475">
        <v>433.878</v>
      </c>
      <c r="E41" s="382">
        <f t="shared" si="1"/>
        <v>1734.644244</v>
      </c>
      <c r="F41" s="91"/>
      <c r="G41" s="91"/>
      <c r="H41" s="65"/>
      <c r="I41" s="65"/>
    </row>
    <row r="42" spans="2:9" s="92" customFormat="1" ht="16.5" customHeight="1">
      <c r="B42" s="66" t="s">
        <v>232</v>
      </c>
      <c r="C42" s="83" t="s">
        <v>93</v>
      </c>
      <c r="D42" s="475">
        <v>350.1539</v>
      </c>
      <c r="E42" s="382">
        <f t="shared" si="1"/>
        <v>1399.9152922</v>
      </c>
      <c r="F42" s="91"/>
      <c r="G42" s="91"/>
      <c r="H42" s="65"/>
      <c r="I42" s="65"/>
    </row>
    <row r="43" spans="2:9" s="92" customFormat="1" ht="16.5" customHeight="1">
      <c r="B43" s="66" t="s">
        <v>43</v>
      </c>
      <c r="C43" s="83" t="s">
        <v>93</v>
      </c>
      <c r="D43" s="475">
        <v>13.12017</v>
      </c>
      <c r="E43" s="382">
        <f t="shared" si="1"/>
        <v>52.45443966</v>
      </c>
      <c r="F43" s="91"/>
      <c r="G43" s="91"/>
      <c r="H43" s="65"/>
      <c r="I43" s="65"/>
    </row>
    <row r="44" spans="2:7" s="65" customFormat="1" ht="12" customHeight="1">
      <c r="B44" s="93"/>
      <c r="C44" s="83"/>
      <c r="D44" s="475"/>
      <c r="E44" s="382"/>
      <c r="F44" s="91"/>
      <c r="G44" s="91"/>
    </row>
    <row r="45" spans="2:9" s="92" customFormat="1" ht="16.5" customHeight="1">
      <c r="B45" s="369" t="s">
        <v>86</v>
      </c>
      <c r="C45" s="370"/>
      <c r="D45" s="474">
        <f>+D46</f>
        <v>4300000</v>
      </c>
      <c r="E45" s="477">
        <f>+E46</f>
        <v>17191400</v>
      </c>
      <c r="F45" s="91"/>
      <c r="G45" s="91"/>
      <c r="H45" s="65"/>
      <c r="I45" s="65"/>
    </row>
    <row r="46" spans="2:9" s="92" customFormat="1" ht="16.5" customHeight="1">
      <c r="B46" s="93" t="s">
        <v>201</v>
      </c>
      <c r="C46" s="83" t="s">
        <v>93</v>
      </c>
      <c r="D46" s="475">
        <v>4300000</v>
      </c>
      <c r="E46" s="382">
        <f>ROUND(D46*$F$9,8)</f>
        <v>17191400</v>
      </c>
      <c r="F46" s="91"/>
      <c r="G46" s="91"/>
      <c r="H46" s="65"/>
      <c r="I46" s="65"/>
    </row>
    <row r="47" spans="2:7" s="65" customFormat="1" ht="9.75" customHeight="1">
      <c r="B47" s="84"/>
      <c r="C47" s="85"/>
      <c r="D47" s="476"/>
      <c r="E47" s="473"/>
      <c r="F47" s="91"/>
      <c r="G47" s="444"/>
    </row>
    <row r="48" spans="2:9" s="81" customFormat="1" ht="15" customHeight="1">
      <c r="B48" s="597" t="s">
        <v>61</v>
      </c>
      <c r="C48" s="614"/>
      <c r="D48" s="616">
        <f>+D29+D14+D45</f>
        <v>8717277.149480002</v>
      </c>
      <c r="E48" s="592">
        <f>+E29+E14+E45</f>
        <v>34851674.04362105</v>
      </c>
      <c r="F48" s="91"/>
      <c r="G48" s="444"/>
      <c r="H48" s="65"/>
      <c r="I48" s="65"/>
    </row>
    <row r="49" spans="2:9" s="81" customFormat="1" ht="15" customHeight="1">
      <c r="B49" s="598"/>
      <c r="C49" s="615"/>
      <c r="D49" s="617"/>
      <c r="E49" s="593"/>
      <c r="F49" s="91"/>
      <c r="G49" s="444"/>
      <c r="H49" s="65"/>
      <c r="I49" s="65"/>
    </row>
    <row r="50" spans="2:9" ht="15">
      <c r="B50" s="141"/>
      <c r="C50" s="141"/>
      <c r="D50" s="523"/>
      <c r="E50" s="141"/>
      <c r="F50" s="91"/>
      <c r="G50" s="444"/>
      <c r="H50" s="65"/>
      <c r="I50" s="65"/>
    </row>
    <row r="51" spans="2:9" ht="15">
      <c r="B51" s="141"/>
      <c r="C51" s="141"/>
      <c r="D51" s="454"/>
      <c r="E51" s="421"/>
      <c r="F51" s="91"/>
      <c r="G51" s="444"/>
      <c r="H51" s="65"/>
      <c r="I51" s="65"/>
    </row>
    <row r="52" spans="2:9" ht="15">
      <c r="B52" s="141"/>
      <c r="C52" s="141"/>
      <c r="D52" s="422"/>
      <c r="E52" s="423"/>
      <c r="F52" s="91"/>
      <c r="G52" s="444"/>
      <c r="H52" s="65"/>
      <c r="I52" s="65"/>
    </row>
    <row r="53" spans="2:9" ht="15">
      <c r="B53" s="141"/>
      <c r="C53" s="423"/>
      <c r="D53" s="422"/>
      <c r="E53" s="423"/>
      <c r="F53" s="91"/>
      <c r="G53" s="444"/>
      <c r="H53" s="65"/>
      <c r="I53" s="65"/>
    </row>
    <row r="54" spans="2:9" ht="15">
      <c r="B54" s="141"/>
      <c r="C54" s="141"/>
      <c r="D54" s="424"/>
      <c r="E54" s="424"/>
      <c r="F54" s="91"/>
      <c r="G54" s="65"/>
      <c r="H54" s="65"/>
      <c r="I54" s="65"/>
    </row>
    <row r="55" spans="2:7" ht="18">
      <c r="B55" s="365" t="s">
        <v>120</v>
      </c>
      <c r="C55" s="365"/>
      <c r="D55" s="365"/>
      <c r="E55" s="365"/>
      <c r="F55" s="420"/>
      <c r="G55" s="444"/>
    </row>
    <row r="56" spans="2:7" s="89" customFormat="1" ht="18.75">
      <c r="B56" s="366" t="s">
        <v>136</v>
      </c>
      <c r="C56" s="366"/>
      <c r="D56" s="366"/>
      <c r="E56" s="366"/>
      <c r="F56" s="420"/>
      <c r="G56" s="444"/>
    </row>
    <row r="57" spans="2:7" s="89" customFormat="1" ht="18.75">
      <c r="B57" s="366" t="s">
        <v>137</v>
      </c>
      <c r="C57" s="366"/>
      <c r="D57" s="366"/>
      <c r="E57" s="258"/>
      <c r="F57" s="420"/>
      <c r="G57" s="65"/>
    </row>
    <row r="58" spans="2:7" s="89" customFormat="1" ht="18.75">
      <c r="B58" s="368" t="s">
        <v>58</v>
      </c>
      <c r="C58" s="367"/>
      <c r="D58" s="367"/>
      <c r="E58" s="367"/>
      <c r="F58" s="420"/>
      <c r="G58" s="65"/>
    </row>
    <row r="59" spans="2:7" s="89" customFormat="1" ht="18.75">
      <c r="B59" s="133" t="str">
        <f>+B9</f>
        <v>Al 31 de diciembre de 2021</v>
      </c>
      <c r="C59" s="364"/>
      <c r="D59" s="257"/>
      <c r="E59" s="257"/>
      <c r="F59" s="420"/>
      <c r="G59" s="65"/>
    </row>
    <row r="60" spans="2:7" ht="6" customHeight="1">
      <c r="B60" s="618"/>
      <c r="C60" s="618"/>
      <c r="D60" s="618"/>
      <c r="E60" s="618"/>
      <c r="F60" s="420"/>
      <c r="G60" s="65"/>
    </row>
    <row r="61" spans="2:5" ht="18" customHeight="1">
      <c r="B61" s="600" t="s">
        <v>96</v>
      </c>
      <c r="C61" s="600" t="s">
        <v>26</v>
      </c>
      <c r="D61" s="611" t="s">
        <v>87</v>
      </c>
      <c r="E61" s="612" t="s">
        <v>164</v>
      </c>
    </row>
    <row r="62" spans="2:6" s="81" customFormat="1" ht="18" customHeight="1">
      <c r="B62" s="601"/>
      <c r="C62" s="601"/>
      <c r="D62" s="595"/>
      <c r="E62" s="613"/>
      <c r="F62" s="90"/>
    </row>
    <row r="63" spans="2:6" s="81" customFormat="1" ht="9.75" customHeight="1">
      <c r="B63" s="110"/>
      <c r="C63" s="256"/>
      <c r="D63" s="94"/>
      <c r="E63" s="521"/>
      <c r="F63" s="90"/>
    </row>
    <row r="64" spans="2:7" s="65" customFormat="1" ht="16.5" customHeight="1">
      <c r="B64" s="369" t="s">
        <v>85</v>
      </c>
      <c r="C64" s="370"/>
      <c r="D64" s="474">
        <f>SUM(D65:D73)</f>
        <v>177126.81499000004</v>
      </c>
      <c r="E64" s="381">
        <f>SUM(E65:E73)</f>
        <v>708153.00633002</v>
      </c>
      <c r="F64" s="71"/>
      <c r="G64" s="71"/>
    </row>
    <row r="65" spans="2:7" s="65" customFormat="1" ht="16.5" customHeight="1">
      <c r="B65" s="93" t="s">
        <v>195</v>
      </c>
      <c r="C65" s="83" t="s">
        <v>93</v>
      </c>
      <c r="D65" s="475">
        <v>69123.81450000004</v>
      </c>
      <c r="E65" s="382">
        <f aca="true" t="shared" si="2" ref="E65:E73">ROUND(D65*$F$9,8)</f>
        <v>276357.010371</v>
      </c>
      <c r="F65" s="71"/>
      <c r="G65" s="71"/>
    </row>
    <row r="66" spans="2:7" s="65" customFormat="1" ht="16.5" customHeight="1">
      <c r="B66" s="93" t="s">
        <v>171</v>
      </c>
      <c r="C66" s="83" t="s">
        <v>93</v>
      </c>
      <c r="D66" s="475">
        <v>34017.00850000002</v>
      </c>
      <c r="E66" s="382">
        <f t="shared" si="2"/>
        <v>135999.999983</v>
      </c>
      <c r="F66" s="71"/>
      <c r="G66" s="71"/>
    </row>
    <row r="67" spans="2:7" s="65" customFormat="1" ht="16.5" customHeight="1">
      <c r="B67" s="93" t="s">
        <v>218</v>
      </c>
      <c r="C67" s="83" t="s">
        <v>93</v>
      </c>
      <c r="D67" s="475">
        <v>22359.567710000003</v>
      </c>
      <c r="E67" s="382">
        <f t="shared" si="2"/>
        <v>89393.55170458</v>
      </c>
      <c r="F67" s="71"/>
      <c r="G67" s="71"/>
    </row>
    <row r="68" spans="2:7" s="65" customFormat="1" ht="16.5" customHeight="1">
      <c r="B68" s="93" t="s">
        <v>168</v>
      </c>
      <c r="C68" s="83" t="s">
        <v>93</v>
      </c>
      <c r="D68" s="475">
        <v>15607.803899999999</v>
      </c>
      <c r="E68" s="382">
        <f t="shared" si="2"/>
        <v>62399.9999922</v>
      </c>
      <c r="F68" s="71"/>
      <c r="G68" s="71"/>
    </row>
    <row r="69" spans="2:7" s="65" customFormat="1" ht="16.5" customHeight="1">
      <c r="B69" s="93" t="s">
        <v>230</v>
      </c>
      <c r="C69" s="83" t="s">
        <v>93</v>
      </c>
      <c r="D69" s="475">
        <v>14507.253630000001</v>
      </c>
      <c r="E69" s="382">
        <f t="shared" si="2"/>
        <v>58000.00001274</v>
      </c>
      <c r="F69" s="71"/>
      <c r="G69" s="71"/>
    </row>
    <row r="70" spans="2:7" s="65" customFormat="1" ht="16.5" customHeight="1">
      <c r="B70" s="93" t="s">
        <v>193</v>
      </c>
      <c r="C70" s="83" t="s">
        <v>93</v>
      </c>
      <c r="D70" s="475">
        <v>8254.127059999999</v>
      </c>
      <c r="E70" s="382">
        <f t="shared" si="2"/>
        <v>32999.99998588</v>
      </c>
      <c r="F70" s="71"/>
      <c r="G70" s="71"/>
    </row>
    <row r="71" spans="2:7" s="65" customFormat="1" ht="16.5" customHeight="1">
      <c r="B71" s="93" t="s">
        <v>240</v>
      </c>
      <c r="C71" s="83" t="s">
        <v>93</v>
      </c>
      <c r="D71" s="475">
        <v>7004.11312</v>
      </c>
      <c r="E71" s="382">
        <f t="shared" si="2"/>
        <v>28002.44425376</v>
      </c>
      <c r="F71" s="71"/>
      <c r="G71" s="71"/>
    </row>
    <row r="72" spans="2:7" s="65" customFormat="1" ht="16.5" customHeight="1">
      <c r="B72" s="93" t="s">
        <v>264</v>
      </c>
      <c r="C72" s="83" t="s">
        <v>93</v>
      </c>
      <c r="D72" s="475">
        <v>3751.87594</v>
      </c>
      <c r="E72" s="382">
        <f t="shared" si="2"/>
        <v>15000.00000812</v>
      </c>
      <c r="F72" s="71"/>
      <c r="G72" s="71"/>
    </row>
    <row r="73" spans="2:7" s="65" customFormat="1" ht="16.5" customHeight="1">
      <c r="B73" s="93" t="s">
        <v>252</v>
      </c>
      <c r="C73" s="83" t="s">
        <v>93</v>
      </c>
      <c r="D73" s="475">
        <v>2501.25063</v>
      </c>
      <c r="E73" s="382">
        <f t="shared" si="2"/>
        <v>10000.00001874</v>
      </c>
      <c r="F73" s="71"/>
      <c r="G73" s="71"/>
    </row>
    <row r="74" spans="2:7" s="65" customFormat="1" ht="12" customHeight="1">
      <c r="B74" s="70"/>
      <c r="C74" s="72"/>
      <c r="D74" s="478"/>
      <c r="E74" s="389"/>
      <c r="F74" s="71"/>
      <c r="G74" s="71"/>
    </row>
    <row r="75" spans="2:7" s="92" customFormat="1" ht="16.5" customHeight="1">
      <c r="B75" s="369" t="s">
        <v>159</v>
      </c>
      <c r="C75" s="72"/>
      <c r="D75" s="474">
        <f>+D76</f>
        <v>674103.55981</v>
      </c>
      <c r="E75" s="381">
        <f>+E76</f>
        <v>2695066.03212038</v>
      </c>
      <c r="F75" s="71"/>
      <c r="G75" s="444"/>
    </row>
    <row r="76" spans="2:7" s="92" customFormat="1" ht="16.5" customHeight="1">
      <c r="B76" s="93" t="s">
        <v>201</v>
      </c>
      <c r="C76" s="83" t="s">
        <v>93</v>
      </c>
      <c r="D76" s="475">
        <v>674103.55981</v>
      </c>
      <c r="E76" s="382">
        <f>ROUND(D76*$F$9,8)</f>
        <v>2695066.03212038</v>
      </c>
      <c r="F76" s="71"/>
      <c r="G76" s="444"/>
    </row>
    <row r="77" spans="2:7" s="65" customFormat="1" ht="9.75" customHeight="1">
      <c r="B77" s="84"/>
      <c r="C77" s="85"/>
      <c r="D77" s="476"/>
      <c r="E77" s="473"/>
      <c r="F77" s="71"/>
      <c r="G77" s="444"/>
    </row>
    <row r="78" spans="2:7" s="81" customFormat="1" ht="15" customHeight="1">
      <c r="B78" s="597" t="s">
        <v>61</v>
      </c>
      <c r="C78" s="614"/>
      <c r="D78" s="616">
        <f>+D64+D75</f>
        <v>851230.3748000001</v>
      </c>
      <c r="E78" s="592">
        <f>+E64+E75</f>
        <v>3403219.0384504003</v>
      </c>
      <c r="F78" s="71"/>
      <c r="G78" s="444"/>
    </row>
    <row r="79" spans="2:6" s="81" customFormat="1" ht="15" customHeight="1">
      <c r="B79" s="598"/>
      <c r="C79" s="615"/>
      <c r="D79" s="617"/>
      <c r="E79" s="593"/>
      <c r="F79" s="90"/>
    </row>
    <row r="80" spans="4:5" ht="12.75">
      <c r="D80" s="193"/>
      <c r="E80" s="193"/>
    </row>
    <row r="81" spans="2:5" ht="15">
      <c r="B81" s="134"/>
      <c r="D81" s="371"/>
      <c r="E81" s="294"/>
    </row>
    <row r="82" spans="2:5" ht="15">
      <c r="B82" s="134"/>
      <c r="D82" s="371"/>
      <c r="E82" s="294"/>
    </row>
    <row r="83" spans="4:5" ht="12.75">
      <c r="D83" s="295"/>
      <c r="E83" s="295"/>
    </row>
    <row r="84" spans="4:5" ht="12.75">
      <c r="D84" s="245"/>
      <c r="E84" s="245"/>
    </row>
  </sheetData>
  <sheetProtection/>
  <mergeCells count="18">
    <mergeCell ref="B10:E10"/>
    <mergeCell ref="B11:B12"/>
    <mergeCell ref="C11:C12"/>
    <mergeCell ref="E11:E12"/>
    <mergeCell ref="D11:D12"/>
    <mergeCell ref="E78:E79"/>
    <mergeCell ref="B78:B79"/>
    <mergeCell ref="C78:C79"/>
    <mergeCell ref="D78:D79"/>
    <mergeCell ref="B60:E60"/>
    <mergeCell ref="B61:B62"/>
    <mergeCell ref="C61:C62"/>
    <mergeCell ref="D61:D62"/>
    <mergeCell ref="E61:E62"/>
    <mergeCell ref="B48:B49"/>
    <mergeCell ref="C48:C49"/>
    <mergeCell ref="D48:D49"/>
    <mergeCell ref="E48:E49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2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9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25"/>
      <c r="C1" s="625"/>
      <c r="D1" s="625"/>
      <c r="E1" s="625"/>
    </row>
    <row r="2" spans="2:5" s="136" customFormat="1" ht="18.75" customHeight="1">
      <c r="B2" s="625"/>
      <c r="C2" s="625"/>
      <c r="D2" s="625"/>
      <c r="E2" s="625"/>
    </row>
    <row r="3" spans="2:5" s="136" customFormat="1" ht="11.25" customHeight="1">
      <c r="B3" s="625"/>
      <c r="C3" s="625"/>
      <c r="D3" s="625"/>
      <c r="E3" s="625"/>
    </row>
    <row r="4" spans="2:11" s="136" customFormat="1" ht="15" customHeight="1">
      <c r="B4" s="625"/>
      <c r="C4" s="625"/>
      <c r="D4" s="625"/>
      <c r="E4" s="625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19" t="s">
        <v>136</v>
      </c>
      <c r="C6" s="319"/>
      <c r="D6" s="319"/>
      <c r="E6" s="319"/>
      <c r="F6" s="135"/>
      <c r="G6" s="132"/>
      <c r="H6" s="132"/>
      <c r="I6" s="132"/>
      <c r="J6" s="132"/>
      <c r="K6" s="132"/>
    </row>
    <row r="7" spans="2:11" ht="18">
      <c r="B7" s="319" t="s">
        <v>135</v>
      </c>
      <c r="C7" s="319"/>
      <c r="D7" s="319"/>
      <c r="E7" s="319"/>
      <c r="F7" s="135"/>
      <c r="G7" s="132"/>
      <c r="H7" s="132"/>
      <c r="I7" s="132"/>
      <c r="J7" s="132"/>
      <c r="K7" s="132"/>
    </row>
    <row r="8" spans="2:11" ht="16.5">
      <c r="B8" s="343" t="s">
        <v>105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31 de diciembre de 2021</v>
      </c>
      <c r="C9" s="133"/>
      <c r="D9" s="133"/>
      <c r="E9" s="266"/>
      <c r="F9" s="372">
        <f>+Portada!H39</f>
        <v>3.998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5" t="s">
        <v>212</v>
      </c>
      <c r="C11" s="619" t="s">
        <v>101</v>
      </c>
      <c r="D11" s="621" t="s">
        <v>87</v>
      </c>
      <c r="E11" s="584" t="s">
        <v>164</v>
      </c>
      <c r="G11" s="132"/>
      <c r="H11" s="132"/>
      <c r="I11" s="132"/>
      <c r="J11" s="132"/>
      <c r="K11" s="132"/>
    </row>
    <row r="12" spans="2:11" s="81" customFormat="1" ht="16.5" customHeight="1">
      <c r="B12" s="394" t="s">
        <v>213</v>
      </c>
      <c r="C12" s="620"/>
      <c r="D12" s="622"/>
      <c r="E12" s="585"/>
      <c r="G12" s="166"/>
      <c r="H12" s="166"/>
      <c r="I12" s="166"/>
      <c r="J12" s="166"/>
      <c r="K12" s="166"/>
    </row>
    <row r="13" spans="2:11" s="81" customFormat="1" ht="9.75" customHeight="1">
      <c r="B13" s="265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2" t="s">
        <v>89</v>
      </c>
      <c r="C14" s="362"/>
      <c r="D14" s="381">
        <f>+D15+D18+D20+D22+D25</f>
        <v>4900875.101960001</v>
      </c>
      <c r="E14" s="381">
        <f>+E15+E18+E20+E22+E25</f>
        <v>19593698.657640003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72">
        <f>SUM(D16:D17)</f>
        <v>1327013.50675</v>
      </c>
      <c r="E15" s="472">
        <f>SUM(E16:E17)</f>
        <v>5305399.99999</v>
      </c>
      <c r="G15" s="165"/>
      <c r="H15" s="165"/>
      <c r="I15" s="165"/>
      <c r="J15" s="165"/>
      <c r="K15" s="165"/>
    </row>
    <row r="16" spans="2:11" s="65" customFormat="1" ht="16.5" customHeight="1">
      <c r="B16" s="388" t="s">
        <v>231</v>
      </c>
      <c r="C16" s="74" t="s">
        <v>103</v>
      </c>
      <c r="D16" s="384">
        <v>1300000</v>
      </c>
      <c r="E16" s="384">
        <f>ROUND(+D16*$F$9,5)</f>
        <v>5197400</v>
      </c>
      <c r="G16" s="165"/>
      <c r="H16" s="165"/>
      <c r="I16" s="165"/>
      <c r="J16" s="165"/>
      <c r="K16" s="165"/>
    </row>
    <row r="17" spans="2:11" s="65" customFormat="1" ht="16.5" customHeight="1">
      <c r="B17" s="388" t="s">
        <v>188</v>
      </c>
      <c r="C17" s="74" t="s">
        <v>102</v>
      </c>
      <c r="D17" s="384">
        <v>27013.50675</v>
      </c>
      <c r="E17" s="384">
        <f>ROUND(+D17*$F$9,5)</f>
        <v>107999.99999</v>
      </c>
      <c r="G17" s="522"/>
      <c r="H17" s="165"/>
      <c r="I17" s="165"/>
      <c r="J17" s="165"/>
      <c r="K17" s="165"/>
    </row>
    <row r="18" spans="2:11" s="65" customFormat="1" ht="16.5" customHeight="1">
      <c r="B18" s="73" t="s">
        <v>125</v>
      </c>
      <c r="C18" s="74"/>
      <c r="D18" s="472">
        <f>+D19</f>
        <v>1553.42677</v>
      </c>
      <c r="E18" s="472">
        <f>+E19</f>
        <v>6210.60023</v>
      </c>
      <c r="G18" s="165"/>
      <c r="H18" s="165"/>
      <c r="I18" s="165"/>
      <c r="J18" s="165"/>
      <c r="K18" s="165"/>
    </row>
    <row r="19" spans="2:11" s="65" customFormat="1" ht="16.5" customHeight="1">
      <c r="B19" s="388" t="s">
        <v>185</v>
      </c>
      <c r="C19" s="74" t="s">
        <v>102</v>
      </c>
      <c r="D19" s="384">
        <v>1553.42677</v>
      </c>
      <c r="E19" s="384">
        <f aca="true" t="shared" si="0" ref="E19:E24">ROUND(+D19*$F$9,5)</f>
        <v>6210.60023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75</v>
      </c>
      <c r="C20" s="74"/>
      <c r="D20" s="472">
        <f>+D21</f>
        <v>3000000</v>
      </c>
      <c r="E20" s="472">
        <f>+E21</f>
        <v>11994000</v>
      </c>
      <c r="G20" s="165"/>
      <c r="H20" s="165"/>
      <c r="I20" s="165"/>
      <c r="J20" s="165"/>
      <c r="K20" s="165"/>
    </row>
    <row r="21" spans="2:11" s="65" customFormat="1" ht="16.5" customHeight="1">
      <c r="B21" s="393" t="s">
        <v>224</v>
      </c>
      <c r="C21" s="74" t="s">
        <v>103</v>
      </c>
      <c r="D21" s="384">
        <v>3000000</v>
      </c>
      <c r="E21" s="384">
        <f>ROUND(+D21*$F$9,5)</f>
        <v>11994000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88</v>
      </c>
      <c r="C22" s="73"/>
      <c r="D22" s="472">
        <f>SUM(D23:D24)</f>
        <v>511361.25877</v>
      </c>
      <c r="E22" s="472">
        <f>SUM(E23:E24)</f>
        <v>2044422.31256</v>
      </c>
      <c r="G22" s="165"/>
      <c r="H22" s="165"/>
      <c r="I22" s="165"/>
      <c r="J22" s="165"/>
      <c r="K22" s="165"/>
    </row>
    <row r="23" spans="2:11" s="65" customFormat="1" ht="16.5" customHeight="1">
      <c r="B23" s="388" t="s">
        <v>225</v>
      </c>
      <c r="C23" s="74" t="s">
        <v>102</v>
      </c>
      <c r="D23" s="384">
        <v>354476.88458</v>
      </c>
      <c r="E23" s="384">
        <f t="shared" si="0"/>
        <v>1417198.58455</v>
      </c>
      <c r="G23" s="165"/>
      <c r="H23" s="165"/>
      <c r="I23" s="165"/>
      <c r="J23" s="165"/>
      <c r="K23" s="165"/>
    </row>
    <row r="24" spans="2:11" s="65" customFormat="1" ht="16.5" customHeight="1">
      <c r="B24" s="388" t="s">
        <v>182</v>
      </c>
      <c r="C24" s="74" t="s">
        <v>102</v>
      </c>
      <c r="D24" s="384">
        <v>156884.37419</v>
      </c>
      <c r="E24" s="384">
        <f t="shared" si="0"/>
        <v>627223.72801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72">
        <f>SUM(D26:D27)</f>
        <v>60946.90967</v>
      </c>
      <c r="E25" s="472">
        <f>SUM(E26:E27)</f>
        <v>243665.74486</v>
      </c>
      <c r="G25" s="165"/>
      <c r="H25" s="165"/>
      <c r="I25" s="165"/>
      <c r="J25" s="165"/>
      <c r="K25" s="165"/>
    </row>
    <row r="26" spans="2:11" s="65" customFormat="1" ht="16.5" customHeight="1">
      <c r="B26" s="388" t="s">
        <v>0</v>
      </c>
      <c r="C26" s="74" t="s">
        <v>102</v>
      </c>
      <c r="D26" s="384">
        <v>60933.7895</v>
      </c>
      <c r="E26" s="384">
        <f>ROUND(+D26*$F$9,5)</f>
        <v>243613.29042</v>
      </c>
      <c r="G26" s="165"/>
      <c r="H26" s="165"/>
      <c r="I26" s="165"/>
      <c r="J26" s="165"/>
      <c r="K26" s="165"/>
    </row>
    <row r="27" spans="2:11" s="65" customFormat="1" ht="16.5" customHeight="1">
      <c r="B27" s="388" t="s">
        <v>183</v>
      </c>
      <c r="C27" s="74" t="s">
        <v>102</v>
      </c>
      <c r="D27" s="384">
        <v>13.12017</v>
      </c>
      <c r="E27" s="384">
        <f>ROUND(+D27*$F$9,5)</f>
        <v>52.45444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2"/>
      <c r="E28" s="382"/>
      <c r="G28" s="165"/>
      <c r="H28" s="165"/>
      <c r="I28" s="165"/>
      <c r="J28" s="165"/>
      <c r="K28" s="165"/>
    </row>
    <row r="29" spans="2:11" s="65" customFormat="1" ht="21.75" customHeight="1">
      <c r="B29" s="362" t="s">
        <v>90</v>
      </c>
      <c r="C29" s="68"/>
      <c r="D29" s="381">
        <f>+D30+D33+D35+D38+D40</f>
        <v>3816402.04752</v>
      </c>
      <c r="E29" s="381">
        <f>+E30+E33+E35+E38+E40</f>
        <v>15257975.38597</v>
      </c>
      <c r="F29" s="217"/>
      <c r="G29" s="419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72">
        <f>SUM(D31:D32)</f>
        <v>86072.57156000001</v>
      </c>
      <c r="E30" s="472">
        <f>SUM(E31:E32)</f>
        <v>344118.1411</v>
      </c>
      <c r="F30" s="261"/>
    </row>
    <row r="31" spans="2:6" s="65" customFormat="1" ht="16.5" customHeight="1">
      <c r="B31" s="388" t="s">
        <v>186</v>
      </c>
      <c r="C31" s="74" t="s">
        <v>103</v>
      </c>
      <c r="D31" s="384">
        <v>85542.77138</v>
      </c>
      <c r="E31" s="384">
        <f>ROUND(+D31*$F$9,5)</f>
        <v>341999.99998</v>
      </c>
      <c r="F31" s="388"/>
    </row>
    <row r="32" spans="2:6" s="65" customFormat="1" ht="16.5" customHeight="1">
      <c r="B32" s="388" t="s">
        <v>184</v>
      </c>
      <c r="C32" s="74" t="s">
        <v>102</v>
      </c>
      <c r="D32" s="384">
        <v>529.80018</v>
      </c>
      <c r="E32" s="384">
        <f>ROUND(+D32*$F$9,5)</f>
        <v>2118.14112</v>
      </c>
      <c r="F32" s="388"/>
    </row>
    <row r="33" spans="2:6" s="65" customFormat="1" ht="16.5" customHeight="1">
      <c r="B33" s="73" t="s">
        <v>125</v>
      </c>
      <c r="C33" s="74"/>
      <c r="D33" s="472">
        <f>+D34</f>
        <v>404243.78857</v>
      </c>
      <c r="E33" s="472">
        <f>+E34</f>
        <v>1616166.6667</v>
      </c>
      <c r="F33" s="261"/>
    </row>
    <row r="34" spans="2:7" s="65" customFormat="1" ht="16.5" customHeight="1">
      <c r="B34" s="388" t="s">
        <v>185</v>
      </c>
      <c r="C34" s="74" t="s">
        <v>102</v>
      </c>
      <c r="D34" s="384">
        <v>404243.78857</v>
      </c>
      <c r="E34" s="384">
        <f>ROUND(+D34*$F$9,5)</f>
        <v>1616166.6667</v>
      </c>
      <c r="G34" s="353"/>
    </row>
    <row r="35" spans="2:5" s="65" customFormat="1" ht="16.5" customHeight="1">
      <c r="B35" s="73" t="s">
        <v>75</v>
      </c>
      <c r="C35" s="74"/>
      <c r="D35" s="472">
        <f>SUM(D36:D37)</f>
        <v>2921407.84742</v>
      </c>
      <c r="E35" s="472">
        <f>SUM(E36:E37)</f>
        <v>11679788.57398</v>
      </c>
    </row>
    <row r="36" spans="2:5" s="65" customFormat="1" ht="16.5" customHeight="1">
      <c r="B36" s="393" t="s">
        <v>226</v>
      </c>
      <c r="C36" s="74" t="s">
        <v>103</v>
      </c>
      <c r="D36" s="384">
        <v>2373015.5938</v>
      </c>
      <c r="E36" s="384">
        <f>ROUND(+D36*$F$9,5)</f>
        <v>9487316.34401</v>
      </c>
    </row>
    <row r="37" spans="2:5" s="65" customFormat="1" ht="16.5" customHeight="1">
      <c r="B37" s="393" t="s">
        <v>227</v>
      </c>
      <c r="C37" s="74" t="s">
        <v>102</v>
      </c>
      <c r="D37" s="384">
        <v>548392.25362</v>
      </c>
      <c r="E37" s="384">
        <f>ROUND(+D37*$F$9,5)</f>
        <v>2192472.22997</v>
      </c>
    </row>
    <row r="38" spans="2:5" s="65" customFormat="1" ht="16.5" customHeight="1">
      <c r="B38" s="73" t="s">
        <v>88</v>
      </c>
      <c r="C38" s="73"/>
      <c r="D38" s="472">
        <f>+D39</f>
        <v>29021.41853</v>
      </c>
      <c r="E38" s="472">
        <f>+E39</f>
        <v>116027.63128</v>
      </c>
    </row>
    <row r="39" spans="2:5" s="65" customFormat="1" ht="16.5" customHeight="1">
      <c r="B39" s="388" t="s">
        <v>225</v>
      </c>
      <c r="C39" s="74" t="s">
        <v>102</v>
      </c>
      <c r="D39" s="384">
        <v>29021.41853</v>
      </c>
      <c r="E39" s="384">
        <f>ROUND(+D39*$F$9,5)</f>
        <v>116027.63128</v>
      </c>
    </row>
    <row r="40" spans="2:5" s="65" customFormat="1" ht="16.5" customHeight="1">
      <c r="B40" s="73" t="s">
        <v>36</v>
      </c>
      <c r="C40" s="74"/>
      <c r="D40" s="472">
        <f>SUM(D41:D45)</f>
        <v>375656.42144000006</v>
      </c>
      <c r="E40" s="472">
        <f>SUM(E41:E45)</f>
        <v>1501874.37291</v>
      </c>
    </row>
    <row r="41" spans="2:5" s="65" customFormat="1" ht="16.5" customHeight="1">
      <c r="B41" s="388" t="s">
        <v>166</v>
      </c>
      <c r="C41" s="74" t="s">
        <v>103</v>
      </c>
      <c r="D41" s="384">
        <v>173735.20101000002</v>
      </c>
      <c r="E41" s="384">
        <f>ROUND(+D41*$F$9,5)</f>
        <v>694593.33364</v>
      </c>
    </row>
    <row r="42" spans="2:7" s="65" customFormat="1" ht="16.5" customHeight="1">
      <c r="B42" s="388" t="s">
        <v>233</v>
      </c>
      <c r="C42" s="74" t="s">
        <v>103</v>
      </c>
      <c r="D42" s="384">
        <v>153159.37425000002</v>
      </c>
      <c r="E42" s="384">
        <f>ROUND(+D42*$F$9,5)</f>
        <v>612331.17825</v>
      </c>
      <c r="G42" s="501"/>
    </row>
    <row r="43" spans="2:7" s="65" customFormat="1" ht="16.5" customHeight="1">
      <c r="B43" s="388" t="s">
        <v>234</v>
      </c>
      <c r="C43" s="74" t="s">
        <v>103</v>
      </c>
      <c r="D43" s="384">
        <v>25000</v>
      </c>
      <c r="E43" s="384">
        <f>ROUND(+D43*$F$9,5)</f>
        <v>99950</v>
      </c>
      <c r="G43" s="501"/>
    </row>
    <row r="44" spans="2:7" s="65" customFormat="1" ht="16.5" customHeight="1">
      <c r="B44" s="388" t="s">
        <v>210</v>
      </c>
      <c r="C44" s="74" t="s">
        <v>102</v>
      </c>
      <c r="D44" s="384">
        <v>17151.43288</v>
      </c>
      <c r="E44" s="384">
        <f>ROUND(+D44*$F$9,5)</f>
        <v>68571.42865</v>
      </c>
      <c r="G44" s="501"/>
    </row>
    <row r="45" spans="2:8" s="65" customFormat="1" ht="16.5" customHeight="1">
      <c r="B45" s="388" t="s">
        <v>167</v>
      </c>
      <c r="C45" s="74" t="s">
        <v>103</v>
      </c>
      <c r="D45" s="384">
        <v>6610.4133</v>
      </c>
      <c r="E45" s="384">
        <f>ROUND(+D45*$F$9,5)</f>
        <v>26428.43237</v>
      </c>
      <c r="H45" s="361"/>
    </row>
    <row r="46" spans="2:5" s="65" customFormat="1" ht="9.75" customHeight="1">
      <c r="B46" s="143"/>
      <c r="C46" s="144"/>
      <c r="D46" s="473"/>
      <c r="E46" s="473"/>
    </row>
    <row r="47" spans="2:5" s="81" customFormat="1" ht="15" customHeight="1">
      <c r="B47" s="624" t="s">
        <v>100</v>
      </c>
      <c r="C47" s="145"/>
      <c r="D47" s="630">
        <f>+D29+D14</f>
        <v>8717277.14948</v>
      </c>
      <c r="E47" s="592">
        <f>+E29+E14</f>
        <v>34851674.04361001</v>
      </c>
    </row>
    <row r="48" spans="2:5" s="81" customFormat="1" ht="15" customHeight="1">
      <c r="B48" s="598"/>
      <c r="C48" s="146"/>
      <c r="D48" s="593"/>
      <c r="E48" s="593"/>
    </row>
    <row r="49" spans="2:5" ht="6" customHeight="1">
      <c r="B49" s="147"/>
      <c r="C49" s="147"/>
      <c r="D49" s="97"/>
      <c r="E49" s="97"/>
    </row>
    <row r="50" spans="2:5" ht="14.25" customHeight="1">
      <c r="B50" s="86" t="s">
        <v>256</v>
      </c>
      <c r="C50" s="86"/>
      <c r="D50" s="524"/>
      <c r="E50" s="65"/>
    </row>
    <row r="51" spans="2:5" ht="14.25" customHeight="1">
      <c r="B51" s="86" t="s">
        <v>223</v>
      </c>
      <c r="C51" s="86"/>
      <c r="D51" s="86"/>
      <c r="E51" s="65"/>
    </row>
    <row r="52" spans="2:5" ht="14.25" customHeight="1">
      <c r="B52" s="86" t="s">
        <v>261</v>
      </c>
      <c r="C52" s="86"/>
      <c r="D52" s="169"/>
      <c r="E52" s="65"/>
    </row>
    <row r="53" spans="2:5" ht="14.25" customHeight="1">
      <c r="B53" s="86" t="s">
        <v>262</v>
      </c>
      <c r="C53" s="86"/>
      <c r="D53" s="86"/>
      <c r="E53" s="211"/>
    </row>
    <row r="54" spans="2:5" ht="12.75">
      <c r="B54" s="455"/>
      <c r="C54" s="86"/>
      <c r="D54" s="86"/>
      <c r="E54" s="211"/>
    </row>
    <row r="55" spans="4:6" ht="15">
      <c r="D55" s="391"/>
      <c r="F55" s="214"/>
    </row>
    <row r="56" spans="2:5" ht="12.75">
      <c r="B56" s="86"/>
      <c r="D56" s="246"/>
      <c r="E56" s="246"/>
    </row>
    <row r="57" spans="2:5" ht="12.75">
      <c r="B57" s="86"/>
      <c r="D57" s="246"/>
      <c r="E57" s="246"/>
    </row>
    <row r="58" ht="12.75">
      <c r="D58" s="98"/>
    </row>
    <row r="59" spans="2:5" s="136" customFormat="1" ht="18">
      <c r="B59" s="95" t="s">
        <v>121</v>
      </c>
      <c r="C59" s="95"/>
      <c r="D59" s="95"/>
      <c r="E59" s="95"/>
    </row>
    <row r="60" spans="2:6" s="136" customFormat="1" ht="18">
      <c r="B60" s="623" t="s">
        <v>136</v>
      </c>
      <c r="C60" s="623"/>
      <c r="D60" s="623"/>
      <c r="E60" s="623"/>
      <c r="F60" s="135"/>
    </row>
    <row r="61" spans="2:6" s="136" customFormat="1" ht="18">
      <c r="B61" s="623" t="s">
        <v>137</v>
      </c>
      <c r="C61" s="623"/>
      <c r="D61" s="623"/>
      <c r="E61" s="623"/>
      <c r="F61" s="135"/>
    </row>
    <row r="62" spans="2:5" ht="16.5">
      <c r="B62" s="629" t="s">
        <v>105</v>
      </c>
      <c r="C62" s="629"/>
      <c r="D62" s="629"/>
      <c r="E62" s="629"/>
    </row>
    <row r="63" spans="2:5" ht="15.75">
      <c r="B63" s="596" t="str">
        <f>+B9</f>
        <v>Al 31 de diciembre de 2021</v>
      </c>
      <c r="C63" s="596"/>
      <c r="D63" s="596"/>
      <c r="E63" s="253"/>
    </row>
    <row r="64" spans="2:5" ht="9.75" customHeight="1">
      <c r="B64" s="184"/>
      <c r="C64" s="184"/>
      <c r="D64" s="184"/>
      <c r="E64" s="184"/>
    </row>
    <row r="65" spans="2:5" ht="16.5" customHeight="1">
      <c r="B65" s="395" t="s">
        <v>212</v>
      </c>
      <c r="C65" s="619" t="s">
        <v>101</v>
      </c>
      <c r="D65" s="621" t="s">
        <v>87</v>
      </c>
      <c r="E65" s="584" t="s">
        <v>164</v>
      </c>
    </row>
    <row r="66" spans="2:5" s="81" customFormat="1" ht="16.5" customHeight="1">
      <c r="B66" s="394" t="s">
        <v>213</v>
      </c>
      <c r="C66" s="620"/>
      <c r="D66" s="622"/>
      <c r="E66" s="585"/>
    </row>
    <row r="67" spans="2:5" s="81" customFormat="1" ht="9.75" customHeight="1">
      <c r="B67" s="191"/>
      <c r="C67" s="142"/>
      <c r="D67" s="96"/>
      <c r="E67" s="96"/>
    </row>
    <row r="68" spans="2:5" s="81" customFormat="1" ht="16.5">
      <c r="B68" s="362" t="s">
        <v>238</v>
      </c>
      <c r="C68" s="362"/>
      <c r="D68" s="396">
        <f>+D69</f>
        <v>0</v>
      </c>
      <c r="E68" s="396">
        <f>+E69</f>
        <v>0</v>
      </c>
    </row>
    <row r="69" spans="2:5" s="81" customFormat="1" ht="16.5" hidden="1">
      <c r="B69" s="73" t="s">
        <v>35</v>
      </c>
      <c r="C69" s="73"/>
      <c r="D69" s="397">
        <f>SUM(D70:D70)</f>
        <v>0</v>
      </c>
      <c r="E69" s="397">
        <f>SUM(E70:E70)</f>
        <v>0</v>
      </c>
    </row>
    <row r="70" spans="2:5" s="81" customFormat="1" ht="16.5" hidden="1">
      <c r="B70" s="388"/>
      <c r="C70" s="74"/>
      <c r="D70" s="425">
        <v>0</v>
      </c>
      <c r="E70" s="392">
        <f>ROUND(+D70*$F$9,5)</f>
        <v>0</v>
      </c>
    </row>
    <row r="71" spans="2:5" s="81" customFormat="1" ht="12" customHeight="1">
      <c r="B71" s="142"/>
      <c r="C71" s="142"/>
      <c r="D71" s="96"/>
      <c r="E71" s="96"/>
    </row>
    <row r="72" spans="2:5" s="65" customFormat="1" ht="16.5" customHeight="1">
      <c r="B72" s="362" t="s">
        <v>236</v>
      </c>
      <c r="C72" s="362"/>
      <c r="D72" s="396">
        <f>+D73+D83+D85</f>
        <v>851230.3748</v>
      </c>
      <c r="E72" s="396">
        <f>+E73+E83+E85</f>
        <v>3403219.03844</v>
      </c>
    </row>
    <row r="73" spans="2:5" s="65" customFormat="1" ht="16.5" customHeight="1">
      <c r="B73" s="73" t="s">
        <v>35</v>
      </c>
      <c r="C73" s="73"/>
      <c r="D73" s="397">
        <f>SUM(D74:D82)</f>
        <v>772478.4988599999</v>
      </c>
      <c r="E73" s="397">
        <f>SUM(E74:E82)</f>
        <v>3088369.0384299997</v>
      </c>
    </row>
    <row r="74" spans="2:5" s="65" customFormat="1" ht="16.5" customHeight="1">
      <c r="B74" s="388" t="s">
        <v>157</v>
      </c>
      <c r="C74" s="74" t="s">
        <v>102</v>
      </c>
      <c r="D74" s="425">
        <v>240403.1834899999</v>
      </c>
      <c r="E74" s="392">
        <f aca="true" t="shared" si="1" ref="E74:E82">ROUND(+D74*$F$9,5)</f>
        <v>961131.92759</v>
      </c>
    </row>
    <row r="75" spans="2:5" s="65" customFormat="1" ht="16.5" customHeight="1">
      <c r="B75" s="388" t="s">
        <v>188</v>
      </c>
      <c r="C75" s="74" t="s">
        <v>102</v>
      </c>
      <c r="D75" s="425">
        <v>125013.11762999998</v>
      </c>
      <c r="E75" s="392">
        <f t="shared" si="1"/>
        <v>499802.44428</v>
      </c>
    </row>
    <row r="76" spans="2:5" s="65" customFormat="1" ht="16.5" customHeight="1">
      <c r="B76" s="388" t="s">
        <v>254</v>
      </c>
      <c r="C76" s="74" t="s">
        <v>103</v>
      </c>
      <c r="D76" s="425">
        <v>110000</v>
      </c>
      <c r="E76" s="392">
        <f t="shared" si="1"/>
        <v>439780</v>
      </c>
    </row>
    <row r="77" spans="2:5" s="65" customFormat="1" ht="16.5" customHeight="1">
      <c r="B77" s="388" t="s">
        <v>187</v>
      </c>
      <c r="C77" s="74" t="s">
        <v>102</v>
      </c>
      <c r="D77" s="425">
        <v>80456.89509</v>
      </c>
      <c r="E77" s="392">
        <f t="shared" si="1"/>
        <v>321666.66657</v>
      </c>
    </row>
    <row r="78" spans="2:5" s="65" customFormat="1" ht="16.5" customHeight="1">
      <c r="B78" s="388" t="s">
        <v>257</v>
      </c>
      <c r="C78" s="74" t="s">
        <v>103</v>
      </c>
      <c r="D78" s="425">
        <v>80000</v>
      </c>
      <c r="E78" s="392">
        <f t="shared" si="1"/>
        <v>319840</v>
      </c>
    </row>
    <row r="79" spans="2:5" s="65" customFormat="1" ht="16.5" customHeight="1">
      <c r="B79" s="388" t="s">
        <v>184</v>
      </c>
      <c r="C79" s="74" t="s">
        <v>102</v>
      </c>
      <c r="D79" s="425">
        <v>76000</v>
      </c>
      <c r="E79" s="392">
        <f t="shared" si="1"/>
        <v>303848</v>
      </c>
    </row>
    <row r="80" spans="2:5" s="65" customFormat="1" ht="16.5" customHeight="1">
      <c r="B80" s="388" t="s">
        <v>248</v>
      </c>
      <c r="C80" s="74" t="s">
        <v>102</v>
      </c>
      <c r="D80" s="425">
        <v>30000</v>
      </c>
      <c r="E80" s="392">
        <f t="shared" si="1"/>
        <v>119940</v>
      </c>
    </row>
    <row r="81" spans="2:5" s="65" customFormat="1" ht="16.5" customHeight="1">
      <c r="B81" s="388" t="s">
        <v>251</v>
      </c>
      <c r="C81" s="74" t="s">
        <v>103</v>
      </c>
      <c r="D81" s="425">
        <v>20000</v>
      </c>
      <c r="E81" s="392">
        <f t="shared" si="1"/>
        <v>79960</v>
      </c>
    </row>
    <row r="82" spans="2:5" s="65" customFormat="1" ht="16.5" customHeight="1">
      <c r="B82" s="388" t="s">
        <v>263</v>
      </c>
      <c r="C82" s="74" t="s">
        <v>102</v>
      </c>
      <c r="D82" s="425">
        <v>10605.30265</v>
      </c>
      <c r="E82" s="392">
        <f t="shared" si="1"/>
        <v>42399.99999</v>
      </c>
    </row>
    <row r="83" spans="2:5" s="65" customFormat="1" ht="16.5" customHeight="1">
      <c r="B83" s="73" t="s">
        <v>125</v>
      </c>
      <c r="C83" s="75"/>
      <c r="D83" s="397">
        <f>+D84</f>
        <v>3751.87594</v>
      </c>
      <c r="E83" s="397">
        <f>+E84</f>
        <v>15000.00001</v>
      </c>
    </row>
    <row r="84" spans="2:5" s="65" customFormat="1" ht="16.5" customHeight="1">
      <c r="B84" s="388" t="s">
        <v>185</v>
      </c>
      <c r="C84" s="74" t="s">
        <v>102</v>
      </c>
      <c r="D84" s="425">
        <v>3751.87594</v>
      </c>
      <c r="E84" s="392">
        <f>ROUND(+D84*$F$9,5)</f>
        <v>15000.00001</v>
      </c>
    </row>
    <row r="85" spans="2:5" s="65" customFormat="1" ht="16.5" customHeight="1">
      <c r="B85" s="73" t="s">
        <v>36</v>
      </c>
      <c r="C85" s="74"/>
      <c r="D85" s="397">
        <f>SUM(D86:D86)</f>
        <v>75000</v>
      </c>
      <c r="E85" s="397">
        <f>SUM(E86:E86)</f>
        <v>299850</v>
      </c>
    </row>
    <row r="86" spans="2:5" s="65" customFormat="1" ht="16.5" customHeight="1">
      <c r="B86" s="388" t="s">
        <v>179</v>
      </c>
      <c r="C86" s="74" t="s">
        <v>103</v>
      </c>
      <c r="D86" s="425">
        <v>75000</v>
      </c>
      <c r="E86" s="392">
        <f>ROUND(+D86*$F$9,5)</f>
        <v>299850</v>
      </c>
    </row>
    <row r="87" spans="2:9" s="65" customFormat="1" ht="9.75" customHeight="1">
      <c r="B87" s="143"/>
      <c r="C87" s="143"/>
      <c r="D87" s="398"/>
      <c r="E87" s="398"/>
      <c r="G87" s="444"/>
      <c r="H87" s="444"/>
      <c r="I87" s="444"/>
    </row>
    <row r="88" spans="2:7" s="81" customFormat="1" ht="15" customHeight="1">
      <c r="B88" s="597" t="s">
        <v>100</v>
      </c>
      <c r="C88" s="145"/>
      <c r="D88" s="626">
        <f>+D68+D72</f>
        <v>851230.3748</v>
      </c>
      <c r="E88" s="628">
        <f>+E68+E72</f>
        <v>3403219.03844</v>
      </c>
      <c r="G88" s="65"/>
    </row>
    <row r="89" spans="2:7" s="81" customFormat="1" ht="15" customHeight="1">
      <c r="B89" s="598"/>
      <c r="C89" s="146"/>
      <c r="D89" s="627"/>
      <c r="E89" s="627"/>
      <c r="G89" s="65"/>
    </row>
    <row r="90" spans="2:7" ht="7.5" customHeight="1">
      <c r="B90" s="147"/>
      <c r="C90" s="147"/>
      <c r="D90" s="97"/>
      <c r="E90" s="97"/>
      <c r="G90" s="65"/>
    </row>
    <row r="91" spans="4:7" ht="14.25">
      <c r="D91" s="435"/>
      <c r="E91" s="435"/>
      <c r="G91" s="65"/>
    </row>
    <row r="92" spans="4:7" ht="14.25">
      <c r="D92" s="247"/>
      <c r="G92" s="65"/>
    </row>
    <row r="93" spans="4:7" ht="14.25">
      <c r="D93" s="98"/>
      <c r="E93" s="98"/>
      <c r="G93" s="65"/>
    </row>
    <row r="94" ht="14.25">
      <c r="G94" s="65"/>
    </row>
    <row r="95" ht="14.25">
      <c r="G95" s="65"/>
    </row>
    <row r="96" ht="14.25">
      <c r="G96" s="65"/>
    </row>
    <row r="97" ht="14.25">
      <c r="G97" s="65"/>
    </row>
    <row r="98" ht="14.25">
      <c r="G98" s="65"/>
    </row>
    <row r="99" ht="14.25">
      <c r="G99" s="65"/>
    </row>
  </sheetData>
  <sheetProtection/>
  <mergeCells count="20">
    <mergeCell ref="B1:E1"/>
    <mergeCell ref="B2:E2"/>
    <mergeCell ref="B3:E3"/>
    <mergeCell ref="B4:E4"/>
    <mergeCell ref="E11:E12"/>
    <mergeCell ref="B88:B89"/>
    <mergeCell ref="D88:D89"/>
    <mergeCell ref="E88:E89"/>
    <mergeCell ref="B62:E62"/>
    <mergeCell ref="D47:D48"/>
    <mergeCell ref="C65:C66"/>
    <mergeCell ref="C11:C12"/>
    <mergeCell ref="D11:D12"/>
    <mergeCell ref="B63:D63"/>
    <mergeCell ref="E47:E48"/>
    <mergeCell ref="B60:E60"/>
    <mergeCell ref="B47:B48"/>
    <mergeCell ref="D65:D66"/>
    <mergeCell ref="B61:E61"/>
    <mergeCell ref="E65:E66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5:E40 E33 E18:E26 E16 E83 E85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24.75" customHeight="1">
      <c r="B4" s="148"/>
      <c r="P4" s="196"/>
    </row>
    <row r="5" spans="2:16" ht="18">
      <c r="B5" s="373" t="s">
        <v>16</v>
      </c>
      <c r="C5" s="373"/>
      <c r="D5" s="373"/>
      <c r="P5" s="196"/>
    </row>
    <row r="6" spans="2:16" ht="18">
      <c r="B6" s="374" t="s">
        <v>136</v>
      </c>
      <c r="C6" s="374"/>
      <c r="D6" s="374"/>
      <c r="P6" s="196"/>
    </row>
    <row r="7" spans="2:16" ht="18">
      <c r="B7" s="374" t="s">
        <v>135</v>
      </c>
      <c r="C7" s="374"/>
      <c r="D7" s="374"/>
      <c r="E7" s="296"/>
      <c r="P7" s="196"/>
    </row>
    <row r="8" spans="2:16" ht="16.5">
      <c r="B8" s="378" t="s">
        <v>59</v>
      </c>
      <c r="C8" s="375"/>
      <c r="D8" s="375"/>
      <c r="P8" s="196"/>
    </row>
    <row r="9" spans="2:16" ht="15.75">
      <c r="B9" s="376" t="str">
        <f>+'DEP-C2'!B9</f>
        <v>Al 31 de diciembre de 2021</v>
      </c>
      <c r="C9" s="376"/>
      <c r="D9" s="297"/>
      <c r="E9" s="377">
        <f>+Portada!H39</f>
        <v>3.998</v>
      </c>
      <c r="P9" s="196"/>
    </row>
    <row r="10" spans="2:16" s="77" customFormat="1" ht="9.75" customHeight="1">
      <c r="B10" s="535"/>
      <c r="C10" s="535"/>
      <c r="D10" s="535"/>
      <c r="E10" s="212"/>
      <c r="P10" s="197"/>
    </row>
    <row r="11" spans="2:16" ht="16.5" customHeight="1">
      <c r="B11" s="551" t="s">
        <v>97</v>
      </c>
      <c r="C11" s="631" t="s">
        <v>87</v>
      </c>
      <c r="D11" s="633" t="s">
        <v>164</v>
      </c>
      <c r="P11" s="196"/>
    </row>
    <row r="12" spans="2:16" s="111" customFormat="1" ht="16.5" customHeight="1">
      <c r="B12" s="552"/>
      <c r="C12" s="632"/>
      <c r="D12" s="634"/>
      <c r="E12" s="213"/>
      <c r="P12" s="198"/>
    </row>
    <row r="13" spans="2:16" s="111" customFormat="1" ht="9.75" customHeight="1">
      <c r="B13" s="149"/>
      <c r="C13" s="100"/>
      <c r="D13" s="112"/>
      <c r="E13" s="213"/>
      <c r="P13" s="198"/>
    </row>
    <row r="14" spans="2:16" s="77" customFormat="1" ht="19.5" customHeight="1">
      <c r="B14" s="79" t="s">
        <v>202</v>
      </c>
      <c r="C14" s="506">
        <f>+C16+C35</f>
        <v>8333778.846370002</v>
      </c>
      <c r="D14" s="506">
        <f>+D16+D35</f>
        <v>33318447.82778</v>
      </c>
      <c r="E14" s="248"/>
      <c r="F14" s="385"/>
      <c r="G14" s="298"/>
      <c r="H14" s="298"/>
      <c r="P14" s="197"/>
    </row>
    <row r="15" spans="2:16" s="77" customFormat="1" ht="9.75" customHeight="1">
      <c r="B15" s="79"/>
      <c r="C15" s="381"/>
      <c r="D15" s="506"/>
      <c r="E15" s="248"/>
      <c r="F15" s="386"/>
      <c r="G15" s="298"/>
      <c r="H15" s="298"/>
      <c r="P15" s="197"/>
    </row>
    <row r="16" spans="2:16" s="77" customFormat="1" ht="16.5" customHeight="1">
      <c r="B16" s="78" t="s">
        <v>66</v>
      </c>
      <c r="C16" s="381">
        <f>SUM(C17:C33)</f>
        <v>4519384.71063</v>
      </c>
      <c r="D16" s="381">
        <f>SUM(D17:D33)</f>
        <v>18068500.0731</v>
      </c>
      <c r="E16" s="458"/>
      <c r="F16" s="458"/>
      <c r="P16" s="197"/>
    </row>
    <row r="17" spans="2:16" s="77" customFormat="1" ht="16.5" customHeight="1">
      <c r="B17" s="379" t="s">
        <v>201</v>
      </c>
      <c r="C17" s="492">
        <v>4300000</v>
      </c>
      <c r="D17" s="382">
        <f aca="true" t="shared" si="0" ref="D17:D33">ROUND(+C17*$E$9,5)</f>
        <v>17191400</v>
      </c>
      <c r="E17" s="458"/>
      <c r="F17" s="458"/>
      <c r="P17" s="197"/>
    </row>
    <row r="18" spans="2:16" s="77" customFormat="1" ht="16.5" customHeight="1">
      <c r="B18" s="379" t="s">
        <v>209</v>
      </c>
      <c r="C18" s="492">
        <v>111300.03539</v>
      </c>
      <c r="D18" s="382">
        <f t="shared" si="0"/>
        <v>444977.54149</v>
      </c>
      <c r="E18" s="458"/>
      <c r="F18" s="458"/>
      <c r="P18" s="197"/>
    </row>
    <row r="19" spans="2:16" s="77" customFormat="1" ht="16.5" customHeight="1">
      <c r="B19" s="379" t="s">
        <v>199</v>
      </c>
      <c r="C19" s="492">
        <v>32450.83947</v>
      </c>
      <c r="D19" s="382">
        <f t="shared" si="0"/>
        <v>129738.4562</v>
      </c>
      <c r="E19" s="458"/>
      <c r="F19" s="458"/>
      <c r="P19" s="197"/>
    </row>
    <row r="20" spans="2:16" s="77" customFormat="1" ht="16.5" customHeight="1">
      <c r="B20" s="379" t="s">
        <v>169</v>
      </c>
      <c r="C20" s="492">
        <v>16952.11248</v>
      </c>
      <c r="D20" s="382">
        <f t="shared" si="0"/>
        <v>67774.5457</v>
      </c>
      <c r="E20" s="458"/>
      <c r="F20" s="458"/>
      <c r="P20" s="197"/>
    </row>
    <row r="21" spans="2:16" s="77" customFormat="1" ht="16.5" customHeight="1">
      <c r="B21" s="379" t="s">
        <v>195</v>
      </c>
      <c r="C21" s="492">
        <v>14206.08389</v>
      </c>
      <c r="D21" s="382">
        <f t="shared" si="0"/>
        <v>56795.92339</v>
      </c>
      <c r="E21" s="458"/>
      <c r="F21" s="458"/>
      <c r="P21" s="197"/>
    </row>
    <row r="22" spans="2:16" s="77" customFormat="1" ht="16.5" customHeight="1">
      <c r="B22" s="379" t="s">
        <v>168</v>
      </c>
      <c r="C22" s="492">
        <v>12467.72097</v>
      </c>
      <c r="D22" s="382">
        <f t="shared" si="0"/>
        <v>49845.94844</v>
      </c>
      <c r="E22" s="458"/>
      <c r="F22" s="458"/>
      <c r="P22" s="197"/>
    </row>
    <row r="23" spans="2:16" s="77" customFormat="1" ht="16.5" customHeight="1">
      <c r="B23" s="379" t="s">
        <v>194</v>
      </c>
      <c r="C23" s="492">
        <v>10806.59055</v>
      </c>
      <c r="D23" s="382">
        <f t="shared" si="0"/>
        <v>43204.74902</v>
      </c>
      <c r="E23" s="458"/>
      <c r="F23" s="458"/>
      <c r="P23" s="197"/>
    </row>
    <row r="24" spans="2:16" s="77" customFormat="1" ht="16.5" customHeight="1">
      <c r="B24" s="379" t="s">
        <v>208</v>
      </c>
      <c r="C24" s="492">
        <v>4754.82281</v>
      </c>
      <c r="D24" s="382">
        <f t="shared" si="0"/>
        <v>19009.78159</v>
      </c>
      <c r="E24" s="458"/>
      <c r="F24" s="458"/>
      <c r="P24" s="197"/>
    </row>
    <row r="25" spans="2:16" s="77" customFormat="1" ht="16.5" customHeight="1">
      <c r="B25" s="379" t="s">
        <v>197</v>
      </c>
      <c r="C25" s="492">
        <v>4436.0570099999995</v>
      </c>
      <c r="D25" s="382">
        <f t="shared" si="0"/>
        <v>17735.35593</v>
      </c>
      <c r="E25" s="458"/>
      <c r="F25" s="458"/>
      <c r="P25" s="197"/>
    </row>
    <row r="26" spans="2:16" s="77" customFormat="1" ht="16.5" customHeight="1">
      <c r="B26" s="379" t="s">
        <v>198</v>
      </c>
      <c r="C26" s="492">
        <v>3266.9237200000002</v>
      </c>
      <c r="D26" s="382">
        <f t="shared" si="0"/>
        <v>13061.16103</v>
      </c>
      <c r="E26" s="458"/>
      <c r="F26" s="458"/>
      <c r="P26" s="197"/>
    </row>
    <row r="27" spans="2:16" s="77" customFormat="1" ht="16.5" customHeight="1">
      <c r="B27" s="379" t="s">
        <v>200</v>
      </c>
      <c r="C27" s="492">
        <v>3210.6919199999998</v>
      </c>
      <c r="D27" s="382">
        <f t="shared" si="0"/>
        <v>12836.3463</v>
      </c>
      <c r="E27" s="458"/>
      <c r="F27" s="458"/>
      <c r="P27" s="197"/>
    </row>
    <row r="28" spans="2:16" s="77" customFormat="1" ht="16.5" customHeight="1">
      <c r="B28" s="379" t="s">
        <v>49</v>
      </c>
      <c r="C28" s="492">
        <v>1878.96866</v>
      </c>
      <c r="D28" s="382">
        <f t="shared" si="0"/>
        <v>7512.1167</v>
      </c>
      <c r="E28" s="458"/>
      <c r="F28" s="458"/>
      <c r="P28" s="197"/>
    </row>
    <row r="29" spans="2:16" s="77" customFormat="1" ht="16.5" customHeight="1">
      <c r="B29" s="379" t="s">
        <v>237</v>
      </c>
      <c r="C29" s="492">
        <v>1814.51508</v>
      </c>
      <c r="D29" s="382">
        <f t="shared" si="0"/>
        <v>7254.43129</v>
      </c>
      <c r="E29" s="458"/>
      <c r="F29" s="458"/>
      <c r="P29" s="197"/>
    </row>
    <row r="30" spans="2:16" s="77" customFormat="1" ht="16.5" customHeight="1">
      <c r="B30" s="379" t="s">
        <v>196</v>
      </c>
      <c r="C30" s="492">
        <v>975.82448</v>
      </c>
      <c r="D30" s="382">
        <f t="shared" si="0"/>
        <v>3901.34627</v>
      </c>
      <c r="E30" s="458"/>
      <c r="F30" s="458"/>
      <c r="P30" s="197"/>
    </row>
    <row r="31" spans="2:16" s="77" customFormat="1" ht="16.5" customHeight="1">
      <c r="B31" s="379" t="s">
        <v>255</v>
      </c>
      <c r="C31" s="492">
        <v>500.25013</v>
      </c>
      <c r="D31" s="382">
        <f t="shared" si="0"/>
        <v>2000.00002</v>
      </c>
      <c r="E31" s="458"/>
      <c r="F31" s="458"/>
      <c r="P31" s="197"/>
    </row>
    <row r="32" spans="2:16" s="77" customFormat="1" ht="16.5" customHeight="1">
      <c r="B32" s="379" t="s">
        <v>232</v>
      </c>
      <c r="C32" s="492">
        <v>350.1539</v>
      </c>
      <c r="D32" s="382">
        <f t="shared" si="0"/>
        <v>1399.91529</v>
      </c>
      <c r="E32" s="458"/>
      <c r="F32" s="458"/>
      <c r="P32" s="197"/>
    </row>
    <row r="33" spans="2:16" s="77" customFormat="1" ht="16.5" customHeight="1">
      <c r="B33" s="379" t="s">
        <v>43</v>
      </c>
      <c r="C33" s="492">
        <v>13.12017</v>
      </c>
      <c r="D33" s="382">
        <f t="shared" si="0"/>
        <v>52.45444</v>
      </c>
      <c r="E33" s="458"/>
      <c r="F33" s="458"/>
      <c r="P33" s="197"/>
    </row>
    <row r="34" spans="2:16" s="77" customFormat="1" ht="12" customHeight="1">
      <c r="B34" s="300"/>
      <c r="C34" s="384"/>
      <c r="D34" s="384"/>
      <c r="E34" s="458"/>
      <c r="F34" s="458"/>
      <c r="P34" s="197"/>
    </row>
    <row r="35" spans="2:16" s="77" customFormat="1" ht="16.5" customHeight="1">
      <c r="B35" s="78" t="s">
        <v>25</v>
      </c>
      <c r="C35" s="381">
        <f>SUM(C36:C38)</f>
        <v>3814394.1357400026</v>
      </c>
      <c r="D35" s="381">
        <f>+SUM(D36:D38)</f>
        <v>15249947.75468</v>
      </c>
      <c r="E35" s="458"/>
      <c r="F35" s="458"/>
      <c r="P35" s="197"/>
    </row>
    <row r="36" spans="2:16" s="77" customFormat="1" ht="16.5" customHeight="1">
      <c r="B36" s="379" t="s">
        <v>210</v>
      </c>
      <c r="C36" s="492">
        <v>2226063.7799900025</v>
      </c>
      <c r="D36" s="382">
        <f>ROUND(+C36*$E$9,5)</f>
        <v>8899802.9924</v>
      </c>
      <c r="E36" s="458"/>
      <c r="F36" s="458"/>
      <c r="P36" s="197"/>
    </row>
    <row r="37" spans="2:16" s="77" customFormat="1" ht="16.5" customHeight="1">
      <c r="B37" s="380" t="s">
        <v>170</v>
      </c>
      <c r="C37" s="492">
        <v>1571178.9228699997</v>
      </c>
      <c r="D37" s="382">
        <f>ROUND(+C37*$E$9,5)</f>
        <v>6281573.33363</v>
      </c>
      <c r="E37" s="248"/>
      <c r="F37" s="387"/>
      <c r="P37" s="197"/>
    </row>
    <row r="38" spans="2:16" s="77" customFormat="1" ht="16.5" customHeight="1">
      <c r="B38" s="379" t="s">
        <v>124</v>
      </c>
      <c r="C38" s="492">
        <v>17151.43288</v>
      </c>
      <c r="D38" s="382">
        <f>ROUND(+C38*$E$9,5)</f>
        <v>68571.42865</v>
      </c>
      <c r="E38" s="248"/>
      <c r="F38" s="387"/>
      <c r="P38" s="197"/>
    </row>
    <row r="39" spans="2:16" s="77" customFormat="1" ht="15" customHeight="1">
      <c r="B39" s="300"/>
      <c r="C39" s="479"/>
      <c r="D39" s="479"/>
      <c r="E39" s="248"/>
      <c r="F39" s="387"/>
      <c r="P39" s="197"/>
    </row>
    <row r="40" spans="2:16" s="77" customFormat="1" ht="19.5" customHeight="1">
      <c r="B40" s="79" t="s">
        <v>203</v>
      </c>
      <c r="C40" s="506">
        <f>+C42+C54</f>
        <v>383498.3031100001</v>
      </c>
      <c r="D40" s="506">
        <f>+D42+D54</f>
        <v>1533226.2158300004</v>
      </c>
      <c r="E40" s="248"/>
      <c r="F40" s="387"/>
      <c r="P40" s="197"/>
    </row>
    <row r="41" spans="2:16" s="77" customFormat="1" ht="9.75" customHeight="1">
      <c r="B41" s="79"/>
      <c r="C41" s="506"/>
      <c r="D41" s="506"/>
      <c r="E41" s="248"/>
      <c r="F41" s="387"/>
      <c r="P41" s="197"/>
    </row>
    <row r="42" spans="2:16" s="77" customFormat="1" ht="16.5" customHeight="1">
      <c r="B42" s="78" t="s">
        <v>24</v>
      </c>
      <c r="C42" s="381">
        <f>SUM(C43:C52)</f>
        <v>354476.88458000007</v>
      </c>
      <c r="D42" s="381">
        <f>SUM(D43:D52)</f>
        <v>1417198.5845500003</v>
      </c>
      <c r="E42" s="248"/>
      <c r="F42" s="248"/>
      <c r="P42" s="197"/>
    </row>
    <row r="43" spans="2:16" s="77" customFormat="1" ht="16.5" customHeight="1">
      <c r="B43" s="379" t="s">
        <v>209</v>
      </c>
      <c r="C43" s="492">
        <v>340157.11516</v>
      </c>
      <c r="D43" s="382">
        <f aca="true" t="shared" si="1" ref="D43:D52">ROUND(+C43*$E$9,5)</f>
        <v>1359948.14641</v>
      </c>
      <c r="E43" s="248"/>
      <c r="F43" s="248"/>
      <c r="P43" s="197"/>
    </row>
    <row r="44" spans="2:16" s="77" customFormat="1" ht="16.5" customHeight="1">
      <c r="B44" s="344" t="s">
        <v>206</v>
      </c>
      <c r="C44" s="492">
        <v>3930.2531200000003</v>
      </c>
      <c r="D44" s="382">
        <f t="shared" si="1"/>
        <v>15713.15197</v>
      </c>
      <c r="E44" s="248"/>
      <c r="F44" s="248"/>
      <c r="P44" s="197"/>
    </row>
    <row r="45" spans="2:16" s="77" customFormat="1" ht="16.5" customHeight="1">
      <c r="B45" s="344" t="s">
        <v>69</v>
      </c>
      <c r="C45" s="492">
        <v>3396.1661400000003</v>
      </c>
      <c r="D45" s="382">
        <f t="shared" si="1"/>
        <v>13577.87223</v>
      </c>
      <c r="E45" s="248"/>
      <c r="F45" s="248"/>
      <c r="P45" s="197"/>
    </row>
    <row r="46" spans="2:16" s="77" customFormat="1" ht="16.5" customHeight="1">
      <c r="B46" s="344" t="s">
        <v>44</v>
      </c>
      <c r="C46" s="492">
        <v>2193.13358</v>
      </c>
      <c r="D46" s="382">
        <f t="shared" si="1"/>
        <v>8768.14805</v>
      </c>
      <c r="E46" s="248"/>
      <c r="F46" s="248"/>
      <c r="P46" s="197"/>
    </row>
    <row r="47" spans="2:16" s="77" customFormat="1" ht="16.5" customHeight="1">
      <c r="B47" s="344" t="s">
        <v>158</v>
      </c>
      <c r="C47" s="492">
        <v>1509.3367</v>
      </c>
      <c r="D47" s="382">
        <f t="shared" si="1"/>
        <v>6034.32813</v>
      </c>
      <c r="E47" s="248"/>
      <c r="F47" s="248"/>
      <c r="P47" s="197"/>
    </row>
    <row r="48" spans="2:16" s="77" customFormat="1" ht="16.5" customHeight="1">
      <c r="B48" s="344" t="s">
        <v>51</v>
      </c>
      <c r="C48" s="492">
        <v>1363.5503899999999</v>
      </c>
      <c r="D48" s="382">
        <f t="shared" si="1"/>
        <v>5451.47446</v>
      </c>
      <c r="E48" s="248"/>
      <c r="F48" s="248"/>
      <c r="P48" s="197"/>
    </row>
    <row r="49" spans="2:16" s="77" customFormat="1" ht="16.5" customHeight="1">
      <c r="B49" s="344" t="s">
        <v>42</v>
      </c>
      <c r="C49" s="492">
        <v>911.47554</v>
      </c>
      <c r="D49" s="382">
        <f t="shared" si="1"/>
        <v>3644.07921</v>
      </c>
      <c r="E49" s="248"/>
      <c r="F49" s="248"/>
      <c r="P49" s="197"/>
    </row>
    <row r="50" spans="2:16" s="77" customFormat="1" ht="16.5" customHeight="1">
      <c r="B50" s="344" t="s">
        <v>207</v>
      </c>
      <c r="C50" s="492">
        <v>512.58883</v>
      </c>
      <c r="D50" s="382">
        <f t="shared" si="1"/>
        <v>2049.33014</v>
      </c>
      <c r="E50" s="248"/>
      <c r="F50" s="248"/>
      <c r="P50" s="197"/>
    </row>
    <row r="51" spans="2:16" s="77" customFormat="1" ht="16.5" customHeight="1">
      <c r="B51" s="344" t="s">
        <v>228</v>
      </c>
      <c r="C51" s="492">
        <v>433.878</v>
      </c>
      <c r="D51" s="382">
        <f t="shared" si="1"/>
        <v>1734.64424</v>
      </c>
      <c r="E51" s="248"/>
      <c r="F51" s="248"/>
      <c r="P51" s="197"/>
    </row>
    <row r="52" spans="2:16" s="77" customFormat="1" ht="16.5" customHeight="1">
      <c r="B52" s="344" t="s">
        <v>208</v>
      </c>
      <c r="C52" s="492">
        <v>69.38712</v>
      </c>
      <c r="D52" s="382">
        <f t="shared" si="1"/>
        <v>277.40971</v>
      </c>
      <c r="E52" s="248"/>
      <c r="F52" s="248"/>
      <c r="P52" s="197"/>
    </row>
    <row r="53" spans="2:16" s="77" customFormat="1" ht="12" customHeight="1">
      <c r="B53" s="388"/>
      <c r="C53" s="384"/>
      <c r="D53" s="384"/>
      <c r="E53" s="248"/>
      <c r="F53" s="248"/>
      <c r="G53" s="446"/>
      <c r="P53" s="197"/>
    </row>
    <row r="54" spans="2:16" s="77" customFormat="1" ht="16.5" customHeight="1">
      <c r="B54" s="78" t="s">
        <v>25</v>
      </c>
      <c r="C54" s="381">
        <f>+C55</f>
        <v>29021.41853</v>
      </c>
      <c r="D54" s="381">
        <f>+D55</f>
        <v>116027.63128</v>
      </c>
      <c r="E54" s="248"/>
      <c r="F54" s="445"/>
      <c r="P54" s="197"/>
    </row>
    <row r="55" spans="2:16" s="77" customFormat="1" ht="16.5" customHeight="1">
      <c r="B55" s="344" t="s">
        <v>210</v>
      </c>
      <c r="C55" s="492">
        <v>29021.41853</v>
      </c>
      <c r="D55" s="382">
        <f>ROUND(+C55*$E$9,5)</f>
        <v>116027.63128</v>
      </c>
      <c r="E55" s="248"/>
      <c r="F55" s="387"/>
      <c r="P55" s="197"/>
    </row>
    <row r="56" spans="2:16" s="77" customFormat="1" ht="9.75" customHeight="1">
      <c r="B56" s="76"/>
      <c r="C56" s="389"/>
      <c r="D56" s="389"/>
      <c r="E56" s="248"/>
      <c r="F56" s="387"/>
      <c r="P56" s="197"/>
    </row>
    <row r="57" spans="2:16" s="77" customFormat="1" ht="18" customHeight="1" hidden="1">
      <c r="B57" s="150"/>
      <c r="C57" s="382"/>
      <c r="D57" s="382"/>
      <c r="E57" s="248"/>
      <c r="F57" s="387"/>
      <c r="P57" s="197"/>
    </row>
    <row r="58" spans="2:16" s="77" customFormat="1" ht="21.75" customHeight="1" hidden="1">
      <c r="B58" s="79" t="s">
        <v>112</v>
      </c>
      <c r="C58" s="506">
        <f>+C59</f>
        <v>0</v>
      </c>
      <c r="D58" s="506">
        <f>+D59</f>
        <v>0</v>
      </c>
      <c r="E58" s="248"/>
      <c r="F58" s="387"/>
      <c r="H58" s="301"/>
      <c r="P58" s="197"/>
    </row>
    <row r="59" spans="2:16" s="77" customFormat="1" ht="21.75" customHeight="1" hidden="1">
      <c r="B59" s="76" t="s">
        <v>66</v>
      </c>
      <c r="C59" s="389">
        <f>+C60</f>
        <v>0</v>
      </c>
      <c r="D59" s="389">
        <f>+D60</f>
        <v>0</v>
      </c>
      <c r="E59" s="248"/>
      <c r="F59" s="387"/>
      <c r="H59" s="301"/>
      <c r="P59" s="197"/>
    </row>
    <row r="60" spans="2:16" s="77" customFormat="1" ht="21.75" customHeight="1" hidden="1">
      <c r="B60" s="299" t="s">
        <v>109</v>
      </c>
      <c r="C60" s="384">
        <v>0</v>
      </c>
      <c r="D60" s="384">
        <f>+C60*$E$9</f>
        <v>0</v>
      </c>
      <c r="E60" s="248"/>
      <c r="F60" s="387"/>
      <c r="H60" s="301"/>
      <c r="P60" s="197"/>
    </row>
    <row r="61" spans="2:16" s="77" customFormat="1" ht="19.5" customHeight="1" hidden="1">
      <c r="B61" s="150"/>
      <c r="C61" s="382"/>
      <c r="D61" s="382"/>
      <c r="E61" s="248"/>
      <c r="F61" s="387"/>
      <c r="P61" s="197"/>
    </row>
    <row r="62" spans="2:16" s="77" customFormat="1" ht="21.75" customHeight="1" hidden="1">
      <c r="B62" s="79" t="s">
        <v>138</v>
      </c>
      <c r="C62" s="506">
        <f>+C63+C87</f>
        <v>0</v>
      </c>
      <c r="D62" s="506">
        <f>+D63+D87</f>
        <v>0</v>
      </c>
      <c r="E62" s="248"/>
      <c r="F62" s="387"/>
      <c r="P62" s="197"/>
    </row>
    <row r="63" spans="2:16" s="77" customFormat="1" ht="21.75" customHeight="1" hidden="1">
      <c r="B63" s="78" t="s">
        <v>24</v>
      </c>
      <c r="C63" s="381">
        <f>SUM(C64:C85)</f>
        <v>0</v>
      </c>
      <c r="D63" s="381">
        <f>SUM(D64:D85)</f>
        <v>0</v>
      </c>
      <c r="E63" s="248"/>
      <c r="F63" s="387"/>
      <c r="P63" s="197"/>
    </row>
    <row r="64" spans="2:16" s="77" customFormat="1" ht="21.75" customHeight="1" hidden="1">
      <c r="B64" s="299" t="s">
        <v>108</v>
      </c>
      <c r="C64" s="384"/>
      <c r="D64" s="384">
        <f aca="true" t="shared" si="2" ref="D64:D85">+C64*$E$9</f>
        <v>0</v>
      </c>
      <c r="E64" s="248"/>
      <c r="F64" s="387"/>
      <c r="P64" s="197"/>
    </row>
    <row r="65" spans="2:16" s="77" customFormat="1" ht="21.75" customHeight="1" hidden="1">
      <c r="B65" s="299" t="s">
        <v>38</v>
      </c>
      <c r="C65" s="384"/>
      <c r="D65" s="384">
        <f t="shared" si="2"/>
        <v>0</v>
      </c>
      <c r="E65" s="248"/>
      <c r="F65" s="387"/>
      <c r="P65" s="197"/>
    </row>
    <row r="66" spans="2:16" s="77" customFormat="1" ht="21.75" customHeight="1" hidden="1">
      <c r="B66" s="299" t="s">
        <v>39</v>
      </c>
      <c r="C66" s="384"/>
      <c r="D66" s="384">
        <f t="shared" si="2"/>
        <v>0</v>
      </c>
      <c r="E66" s="248"/>
      <c r="F66" s="387"/>
      <c r="P66" s="197"/>
    </row>
    <row r="67" spans="2:16" s="77" customFormat="1" ht="21.75" customHeight="1" hidden="1">
      <c r="B67" s="299" t="s">
        <v>41</v>
      </c>
      <c r="C67" s="384"/>
      <c r="D67" s="384">
        <f t="shared" si="2"/>
        <v>0</v>
      </c>
      <c r="E67" s="248"/>
      <c r="F67" s="387"/>
      <c r="P67" s="197"/>
    </row>
    <row r="68" spans="2:16" s="77" customFormat="1" ht="21.75" customHeight="1" hidden="1">
      <c r="B68" s="299" t="s">
        <v>145</v>
      </c>
      <c r="C68" s="384"/>
      <c r="D68" s="384">
        <f t="shared" si="2"/>
        <v>0</v>
      </c>
      <c r="E68" s="248"/>
      <c r="F68" s="387"/>
      <c r="P68" s="197"/>
    </row>
    <row r="69" spans="2:16" s="77" customFormat="1" ht="21.75" customHeight="1" hidden="1">
      <c r="B69" s="299" t="s">
        <v>40</v>
      </c>
      <c r="C69" s="384"/>
      <c r="D69" s="384">
        <f t="shared" si="2"/>
        <v>0</v>
      </c>
      <c r="E69" s="248"/>
      <c r="F69" s="387"/>
      <c r="P69" s="197"/>
    </row>
    <row r="70" spans="2:16" s="77" customFormat="1" ht="21.75" customHeight="1" hidden="1">
      <c r="B70" s="299" t="s">
        <v>45</v>
      </c>
      <c r="C70" s="384"/>
      <c r="D70" s="384">
        <f t="shared" si="2"/>
        <v>0</v>
      </c>
      <c r="E70" s="248"/>
      <c r="F70" s="387"/>
      <c r="P70" s="197"/>
    </row>
    <row r="71" spans="2:16" s="77" customFormat="1" ht="21.75" customHeight="1" hidden="1">
      <c r="B71" s="299" t="s">
        <v>69</v>
      </c>
      <c r="C71" s="384"/>
      <c r="D71" s="384">
        <f t="shared" si="2"/>
        <v>0</v>
      </c>
      <c r="E71" s="248"/>
      <c r="F71" s="387"/>
      <c r="P71" s="197"/>
    </row>
    <row r="72" spans="2:16" s="77" customFormat="1" ht="21.75" customHeight="1" hidden="1">
      <c r="B72" s="299" t="s">
        <v>47</v>
      </c>
      <c r="C72" s="384"/>
      <c r="D72" s="384">
        <f t="shared" si="2"/>
        <v>0</v>
      </c>
      <c r="E72" s="248"/>
      <c r="F72" s="387"/>
      <c r="P72" s="197"/>
    </row>
    <row r="73" spans="2:16" s="77" customFormat="1" ht="21.75" customHeight="1" hidden="1">
      <c r="B73" s="299" t="s">
        <v>42</v>
      </c>
      <c r="C73" s="384"/>
      <c r="D73" s="384">
        <f t="shared" si="2"/>
        <v>0</v>
      </c>
      <c r="E73" s="248"/>
      <c r="F73" s="387"/>
      <c r="P73" s="197"/>
    </row>
    <row r="74" spans="2:16" s="77" customFormat="1" ht="21.75" customHeight="1" hidden="1">
      <c r="B74" s="299" t="s">
        <v>44</v>
      </c>
      <c r="C74" s="384"/>
      <c r="D74" s="384">
        <f t="shared" si="2"/>
        <v>0</v>
      </c>
      <c r="E74" s="248"/>
      <c r="F74" s="387"/>
      <c r="P74" s="197"/>
    </row>
    <row r="75" spans="2:16" s="77" customFormat="1" ht="21.75" customHeight="1" hidden="1">
      <c r="B75" s="299" t="s">
        <v>48</v>
      </c>
      <c r="C75" s="384"/>
      <c r="D75" s="384">
        <f t="shared" si="2"/>
        <v>0</v>
      </c>
      <c r="E75" s="248"/>
      <c r="F75" s="387"/>
      <c r="P75" s="197"/>
    </row>
    <row r="76" spans="2:16" s="77" customFormat="1" ht="21.75" customHeight="1" hidden="1">
      <c r="B76" s="299" t="s">
        <v>51</v>
      </c>
      <c r="C76" s="384"/>
      <c r="D76" s="384">
        <f t="shared" si="2"/>
        <v>0</v>
      </c>
      <c r="E76" s="248"/>
      <c r="F76" s="387"/>
      <c r="P76" s="197"/>
    </row>
    <row r="77" spans="2:16" s="77" customFormat="1" ht="21.75" customHeight="1" hidden="1">
      <c r="B77" s="299" t="s">
        <v>158</v>
      </c>
      <c r="C77" s="384"/>
      <c r="D77" s="384">
        <f t="shared" si="2"/>
        <v>0</v>
      </c>
      <c r="E77" s="248"/>
      <c r="F77" s="387"/>
      <c r="P77" s="197"/>
    </row>
    <row r="78" spans="2:16" s="77" customFormat="1" ht="21.75" customHeight="1" hidden="1">
      <c r="B78" s="299" t="s">
        <v>53</v>
      </c>
      <c r="C78" s="384"/>
      <c r="D78" s="384">
        <f t="shared" si="2"/>
        <v>0</v>
      </c>
      <c r="E78" s="248"/>
      <c r="F78" s="387"/>
      <c r="P78" s="197"/>
    </row>
    <row r="79" spans="2:16" s="77" customFormat="1" ht="21.75" customHeight="1" hidden="1">
      <c r="B79" s="299" t="s">
        <v>55</v>
      </c>
      <c r="C79" s="384"/>
      <c r="D79" s="384">
        <f t="shared" si="2"/>
        <v>0</v>
      </c>
      <c r="E79" s="248"/>
      <c r="F79" s="387"/>
      <c r="P79" s="197"/>
    </row>
    <row r="80" spans="2:16" s="77" customFormat="1" ht="21.75" customHeight="1" hidden="1">
      <c r="B80" s="299" t="s">
        <v>46</v>
      </c>
      <c r="C80" s="384"/>
      <c r="D80" s="384">
        <f t="shared" si="2"/>
        <v>0</v>
      </c>
      <c r="E80" s="248"/>
      <c r="F80" s="387"/>
      <c r="P80" s="197"/>
    </row>
    <row r="81" spans="2:16" s="77" customFormat="1" ht="21.75" customHeight="1" hidden="1">
      <c r="B81" s="299" t="s">
        <v>50</v>
      </c>
      <c r="C81" s="384"/>
      <c r="D81" s="384">
        <f t="shared" si="2"/>
        <v>0</v>
      </c>
      <c r="E81" s="248"/>
      <c r="F81" s="387"/>
      <c r="P81" s="197"/>
    </row>
    <row r="82" spans="2:16" s="77" customFormat="1" ht="21.75" customHeight="1" hidden="1">
      <c r="B82" s="299" t="s">
        <v>57</v>
      </c>
      <c r="C82" s="384"/>
      <c r="D82" s="384">
        <f t="shared" si="2"/>
        <v>0</v>
      </c>
      <c r="E82" s="248"/>
      <c r="F82" s="387"/>
      <c r="P82" s="197"/>
    </row>
    <row r="83" spans="2:16" s="77" customFormat="1" ht="21.75" customHeight="1" hidden="1">
      <c r="B83" s="299" t="s">
        <v>52</v>
      </c>
      <c r="C83" s="384"/>
      <c r="D83" s="384">
        <f t="shared" si="2"/>
        <v>0</v>
      </c>
      <c r="E83" s="248"/>
      <c r="F83" s="387"/>
      <c r="P83" s="197"/>
    </row>
    <row r="84" spans="2:16" s="77" customFormat="1" ht="21.75" customHeight="1" hidden="1">
      <c r="B84" s="299" t="s">
        <v>54</v>
      </c>
      <c r="C84" s="384"/>
      <c r="D84" s="384">
        <f t="shared" si="2"/>
        <v>0</v>
      </c>
      <c r="E84" s="248"/>
      <c r="F84" s="387"/>
      <c r="P84" s="197"/>
    </row>
    <row r="85" spans="2:16" s="77" customFormat="1" ht="21.75" customHeight="1" hidden="1">
      <c r="B85" s="299" t="s">
        <v>56</v>
      </c>
      <c r="C85" s="384"/>
      <c r="D85" s="384">
        <f t="shared" si="2"/>
        <v>0</v>
      </c>
      <c r="E85" s="248"/>
      <c r="F85" s="387"/>
      <c r="P85" s="197"/>
    </row>
    <row r="86" spans="2:16" s="77" customFormat="1" ht="9.75" customHeight="1" hidden="1">
      <c r="B86" s="76"/>
      <c r="C86" s="389"/>
      <c r="D86" s="389"/>
      <c r="E86" s="248"/>
      <c r="F86" s="387"/>
      <c r="P86" s="197"/>
    </row>
    <row r="87" spans="2:16" s="77" customFormat="1" ht="21.75" customHeight="1" hidden="1">
      <c r="B87" s="78" t="s">
        <v>25</v>
      </c>
      <c r="C87" s="381">
        <f>+C88</f>
        <v>0</v>
      </c>
      <c r="D87" s="381">
        <f>+D88</f>
        <v>0</v>
      </c>
      <c r="E87" s="248"/>
      <c r="F87" s="387"/>
      <c r="P87" s="197"/>
    </row>
    <row r="88" spans="2:16" s="77" customFormat="1" ht="21.75" customHeight="1" hidden="1">
      <c r="B88" s="299" t="s">
        <v>107</v>
      </c>
      <c r="C88" s="384"/>
      <c r="D88" s="384">
        <f>+C88*$E$9</f>
        <v>0</v>
      </c>
      <c r="E88" s="248"/>
      <c r="F88" s="387"/>
      <c r="P88" s="197"/>
    </row>
    <row r="89" spans="2:16" s="77" customFormat="1" ht="4.5" customHeight="1">
      <c r="B89" s="150"/>
      <c r="C89" s="382"/>
      <c r="D89" s="382"/>
      <c r="E89" s="248"/>
      <c r="F89" s="387"/>
      <c r="P89" s="197"/>
    </row>
    <row r="90" spans="2:16" s="77" customFormat="1" ht="15" customHeight="1">
      <c r="B90" s="635" t="s">
        <v>28</v>
      </c>
      <c r="C90" s="592">
        <f>C14+C40</f>
        <v>8717277.149480002</v>
      </c>
      <c r="D90" s="592">
        <f>+D14+D40</f>
        <v>34851674.04361</v>
      </c>
      <c r="E90" s="248"/>
      <c r="F90" s="387"/>
      <c r="P90" s="197"/>
    </row>
    <row r="91" spans="2:16" s="111" customFormat="1" ht="15" customHeight="1">
      <c r="B91" s="636"/>
      <c r="C91" s="593"/>
      <c r="D91" s="593"/>
      <c r="E91" s="248"/>
      <c r="F91" s="387"/>
      <c r="G91" s="77"/>
      <c r="P91" s="198"/>
    </row>
    <row r="92" spans="2:16" s="77" customFormat="1" ht="7.5" customHeight="1">
      <c r="B92" s="151"/>
      <c r="C92" s="101"/>
      <c r="D92" s="101"/>
      <c r="E92" s="248"/>
      <c r="F92" s="387"/>
      <c r="P92" s="197"/>
    </row>
    <row r="93" spans="1:16" ht="14.25" customHeight="1">
      <c r="A93" s="302"/>
      <c r="B93" s="303" t="s">
        <v>204</v>
      </c>
      <c r="C93" s="314"/>
      <c r="D93" s="304"/>
      <c r="E93" s="248"/>
      <c r="F93" s="387"/>
      <c r="G93" s="77"/>
      <c r="P93" s="196"/>
    </row>
    <row r="94" spans="1:16" ht="14.25" customHeight="1">
      <c r="A94" s="302"/>
      <c r="B94" s="303" t="s">
        <v>205</v>
      </c>
      <c r="C94" s="305"/>
      <c r="D94" s="306"/>
      <c r="E94" s="248"/>
      <c r="F94" s="387"/>
      <c r="G94" s="77"/>
      <c r="P94" s="196"/>
    </row>
    <row r="95" spans="3:16" ht="14.25">
      <c r="C95" s="307"/>
      <c r="D95" s="308"/>
      <c r="E95" s="248"/>
      <c r="F95" s="387"/>
      <c r="G95" s="77"/>
      <c r="P95" s="196"/>
    </row>
    <row r="96" spans="3:16" ht="14.25">
      <c r="C96" s="310"/>
      <c r="D96" s="310"/>
      <c r="E96" s="248"/>
      <c r="F96" s="387"/>
      <c r="G96" s="311"/>
      <c r="H96" s="311"/>
      <c r="P96" s="196"/>
    </row>
    <row r="97" spans="3:16" ht="12.75">
      <c r="C97" s="312"/>
      <c r="D97" s="312"/>
      <c r="G97" s="311"/>
      <c r="H97" s="311"/>
      <c r="P97" s="196"/>
    </row>
    <row r="98" spans="3:16" ht="12.75">
      <c r="C98" s="313"/>
      <c r="D98" s="313"/>
      <c r="H98" s="309"/>
      <c r="P98" s="196"/>
    </row>
    <row r="99" spans="2:16" ht="18">
      <c r="B99" s="373" t="s">
        <v>122</v>
      </c>
      <c r="C99" s="373"/>
      <c r="D99" s="373"/>
      <c r="H99" s="309"/>
      <c r="P99" s="196"/>
    </row>
    <row r="100" spans="2:16" ht="18">
      <c r="B100" s="374" t="s">
        <v>136</v>
      </c>
      <c r="C100" s="374"/>
      <c r="D100" s="374"/>
      <c r="G100" s="311"/>
      <c r="P100" s="196"/>
    </row>
    <row r="101" spans="2:16" ht="18">
      <c r="B101" s="374" t="s">
        <v>137</v>
      </c>
      <c r="C101" s="374"/>
      <c r="D101" s="374"/>
      <c r="P101" s="196"/>
    </row>
    <row r="102" spans="2:16" ht="16.5">
      <c r="B102" s="378" t="s">
        <v>59</v>
      </c>
      <c r="C102" s="375"/>
      <c r="D102" s="375"/>
      <c r="P102" s="196"/>
    </row>
    <row r="103" spans="2:16" ht="15.75">
      <c r="B103" s="376" t="str">
        <f>+B9</f>
        <v>Al 31 de diciembre de 2021</v>
      </c>
      <c r="C103" s="376"/>
      <c r="D103" s="297"/>
      <c r="P103" s="196"/>
    </row>
    <row r="104" spans="2:16" s="77" customFormat="1" ht="6.75" customHeight="1">
      <c r="B104" s="535"/>
      <c r="C104" s="535"/>
      <c r="D104" s="535"/>
      <c r="E104" s="212"/>
      <c r="P104" s="197"/>
    </row>
    <row r="105" spans="2:16" ht="16.5" customHeight="1">
      <c r="B105" s="551" t="s">
        <v>97</v>
      </c>
      <c r="C105" s="631" t="s">
        <v>87</v>
      </c>
      <c r="D105" s="633" t="s">
        <v>164</v>
      </c>
      <c r="P105" s="196"/>
    </row>
    <row r="106" spans="2:16" s="111" customFormat="1" ht="16.5" customHeight="1">
      <c r="B106" s="552"/>
      <c r="C106" s="632"/>
      <c r="D106" s="634"/>
      <c r="E106" s="213"/>
      <c r="G106" s="315"/>
      <c r="P106" s="198"/>
    </row>
    <row r="107" spans="2:16" s="111" customFormat="1" ht="9.75" customHeight="1">
      <c r="B107" s="149"/>
      <c r="C107" s="100"/>
      <c r="D107" s="112"/>
      <c r="E107" s="213"/>
      <c r="G107" s="315"/>
      <c r="P107" s="198"/>
    </row>
    <row r="108" spans="2:16" s="77" customFormat="1" ht="19.5" customHeight="1">
      <c r="B108" s="79" t="s">
        <v>202</v>
      </c>
      <c r="C108" s="506">
        <f>+C110+C113</f>
        <v>851230.3748000001</v>
      </c>
      <c r="D108" s="506">
        <f>+D110+D113</f>
        <v>3403219.0384400003</v>
      </c>
      <c r="E108" s="212"/>
      <c r="G108" s="301"/>
      <c r="H108" s="301"/>
      <c r="P108" s="197"/>
    </row>
    <row r="109" spans="2:16" s="77" customFormat="1" ht="9.75" customHeight="1">
      <c r="B109" s="79"/>
      <c r="C109" s="506"/>
      <c r="D109" s="506"/>
      <c r="E109" s="212"/>
      <c r="G109" s="301"/>
      <c r="H109" s="301"/>
      <c r="P109" s="197"/>
    </row>
    <row r="110" spans="2:16" s="77" customFormat="1" ht="16.5" customHeight="1">
      <c r="B110" s="78" t="s">
        <v>25</v>
      </c>
      <c r="C110" s="381">
        <f>SUM(C111:C111)</f>
        <v>0</v>
      </c>
      <c r="D110" s="381">
        <f>SUM(D111:D111)</f>
        <v>0</v>
      </c>
      <c r="E110" s="212"/>
      <c r="G110" s="301"/>
      <c r="H110" s="301"/>
      <c r="P110" s="197"/>
    </row>
    <row r="111" spans="2:16" s="77" customFormat="1" ht="16.5" customHeight="1" hidden="1">
      <c r="B111" s="431"/>
      <c r="C111" s="492">
        <v>0</v>
      </c>
      <c r="D111" s="382">
        <f>ROUND(+C111*$E$9,5)</f>
        <v>0</v>
      </c>
      <c r="E111" s="212"/>
      <c r="G111" s="301"/>
      <c r="H111" s="301"/>
      <c r="P111" s="197"/>
    </row>
    <row r="112" spans="2:16" s="77" customFormat="1" ht="12" customHeight="1">
      <c r="B112" s="79"/>
      <c r="C112" s="506"/>
      <c r="D112" s="506"/>
      <c r="E112" s="212"/>
      <c r="G112" s="301"/>
      <c r="H112" s="301"/>
      <c r="P112" s="197"/>
    </row>
    <row r="113" spans="2:16" s="77" customFormat="1" ht="16.5" customHeight="1">
      <c r="B113" s="78" t="s">
        <v>24</v>
      </c>
      <c r="C113" s="381">
        <f>SUM(C114:C123)</f>
        <v>851230.3748000001</v>
      </c>
      <c r="D113" s="381">
        <f>SUM(D114:D123)</f>
        <v>3403219.0384400003</v>
      </c>
      <c r="E113" s="212"/>
      <c r="F113" s="212"/>
      <c r="G113" s="316"/>
      <c r="H113" s="316"/>
      <c r="P113" s="197"/>
    </row>
    <row r="114" spans="2:16" s="77" customFormat="1" ht="16.5" customHeight="1">
      <c r="B114" s="511" t="s">
        <v>253</v>
      </c>
      <c r="C114" s="492">
        <v>674103.55981</v>
      </c>
      <c r="D114" s="382">
        <f aca="true" t="shared" si="3" ref="D114:D123">ROUND(+C114*$E$9,5)</f>
        <v>2695066.03212</v>
      </c>
      <c r="E114" s="212"/>
      <c r="F114" s="212"/>
      <c r="G114" s="316"/>
      <c r="H114" s="316"/>
      <c r="P114" s="197"/>
    </row>
    <row r="115" spans="2:16" s="77" customFormat="1" ht="16.5" customHeight="1">
      <c r="B115" s="511" t="s">
        <v>242</v>
      </c>
      <c r="C115" s="492">
        <v>69123.81450000004</v>
      </c>
      <c r="D115" s="382">
        <f t="shared" si="3"/>
        <v>276357.01037</v>
      </c>
      <c r="E115" s="212"/>
      <c r="F115" s="212"/>
      <c r="G115" s="316"/>
      <c r="P115" s="197"/>
    </row>
    <row r="116" spans="2:16" s="77" customFormat="1" ht="16.5" customHeight="1">
      <c r="B116" s="511" t="s">
        <v>241</v>
      </c>
      <c r="C116" s="492">
        <v>34017.00850000002</v>
      </c>
      <c r="D116" s="382">
        <f t="shared" si="3"/>
        <v>135999.99998</v>
      </c>
      <c r="E116" s="212"/>
      <c r="F116" s="212"/>
      <c r="G116" s="316"/>
      <c r="P116" s="197"/>
    </row>
    <row r="117" spans="2:16" s="77" customFormat="1" ht="16.5" customHeight="1">
      <c r="B117" s="511" t="s">
        <v>243</v>
      </c>
      <c r="C117" s="492">
        <v>22359.567710000003</v>
      </c>
      <c r="D117" s="382">
        <f t="shared" si="3"/>
        <v>89393.5517</v>
      </c>
      <c r="E117" s="212"/>
      <c r="F117" s="212"/>
      <c r="G117" s="316"/>
      <c r="P117" s="197"/>
    </row>
    <row r="118" spans="2:16" s="77" customFormat="1" ht="16.5" customHeight="1" hidden="1">
      <c r="B118" s="511" t="s">
        <v>244</v>
      </c>
      <c r="C118" s="492">
        <v>14507.253630000001</v>
      </c>
      <c r="D118" s="382">
        <f t="shared" si="3"/>
        <v>58000.00001</v>
      </c>
      <c r="E118" s="212"/>
      <c r="F118" s="212"/>
      <c r="G118" s="316"/>
      <c r="P118" s="197"/>
    </row>
    <row r="119" spans="2:16" s="77" customFormat="1" ht="16.5" customHeight="1">
      <c r="B119" s="511" t="s">
        <v>245</v>
      </c>
      <c r="C119" s="492">
        <v>8254.127059999999</v>
      </c>
      <c r="D119" s="382">
        <f t="shared" si="3"/>
        <v>32999.99999</v>
      </c>
      <c r="E119" s="212"/>
      <c r="F119" s="212"/>
      <c r="G119" s="316"/>
      <c r="P119" s="197"/>
    </row>
    <row r="120" spans="2:16" s="77" customFormat="1" ht="16.5" customHeight="1">
      <c r="B120" s="511" t="s">
        <v>246</v>
      </c>
      <c r="C120" s="492">
        <v>7004.11312</v>
      </c>
      <c r="D120" s="382">
        <f t="shared" si="3"/>
        <v>28002.44425</v>
      </c>
      <c r="E120" s="212"/>
      <c r="F120" s="212"/>
      <c r="G120" s="316"/>
      <c r="P120" s="197"/>
    </row>
    <row r="121" spans="2:16" s="77" customFormat="1" ht="16.5" customHeight="1">
      <c r="B121" s="379" t="s">
        <v>168</v>
      </c>
      <c r="C121" s="492">
        <v>15607.803899999999</v>
      </c>
      <c r="D121" s="382">
        <f t="shared" si="3"/>
        <v>62399.99999</v>
      </c>
      <c r="E121" s="212"/>
      <c r="F121" s="212"/>
      <c r="G121" s="316"/>
      <c r="P121" s="197"/>
    </row>
    <row r="122" spans="2:16" s="77" customFormat="1" ht="16.5" customHeight="1">
      <c r="B122" s="511" t="s">
        <v>247</v>
      </c>
      <c r="C122" s="492">
        <v>3751.87594</v>
      </c>
      <c r="D122" s="382">
        <f t="shared" si="3"/>
        <v>15000.00001</v>
      </c>
      <c r="E122" s="212"/>
      <c r="F122" s="212"/>
      <c r="G122" s="316"/>
      <c r="P122" s="197"/>
    </row>
    <row r="123" spans="2:16" s="77" customFormat="1" ht="16.5" customHeight="1">
      <c r="B123" s="520" t="s">
        <v>252</v>
      </c>
      <c r="C123" s="492">
        <v>2501.25063</v>
      </c>
      <c r="D123" s="382">
        <f t="shared" si="3"/>
        <v>10000.00002</v>
      </c>
      <c r="E123" s="212"/>
      <c r="F123" s="212"/>
      <c r="G123" s="316"/>
      <c r="P123" s="197"/>
    </row>
    <row r="124" spans="2:16" s="77" customFormat="1" ht="9.75" customHeight="1">
      <c r="B124" s="150"/>
      <c r="C124" s="382"/>
      <c r="D124" s="382"/>
      <c r="E124" s="212"/>
      <c r="F124" s="212"/>
      <c r="G124" s="316"/>
      <c r="P124" s="197"/>
    </row>
    <row r="125" spans="2:16" s="77" customFormat="1" ht="15" customHeight="1">
      <c r="B125" s="635" t="s">
        <v>28</v>
      </c>
      <c r="C125" s="592">
        <f>+C108</f>
        <v>851230.3748000001</v>
      </c>
      <c r="D125" s="592">
        <f>+D108</f>
        <v>3403219.0384400003</v>
      </c>
      <c r="E125" s="212"/>
      <c r="F125" s="212"/>
      <c r="G125" s="316"/>
      <c r="P125" s="197"/>
    </row>
    <row r="126" spans="2:16" s="111" customFormat="1" ht="15" customHeight="1">
      <c r="B126" s="636"/>
      <c r="C126" s="593"/>
      <c r="D126" s="593"/>
      <c r="E126" s="212"/>
      <c r="F126" s="446"/>
      <c r="G126" s="316"/>
      <c r="P126" s="198"/>
    </row>
    <row r="127" spans="2:16" s="77" customFormat="1" ht="7.5" customHeight="1">
      <c r="B127" s="151"/>
      <c r="C127" s="101"/>
      <c r="D127" s="101"/>
      <c r="E127" s="212"/>
      <c r="F127" s="446"/>
      <c r="P127" s="197"/>
    </row>
    <row r="128" spans="1:16" ht="14.25" customHeight="1">
      <c r="A128" s="302"/>
      <c r="B128" s="303" t="s">
        <v>204</v>
      </c>
      <c r="C128" s="390"/>
      <c r="D128" s="390"/>
      <c r="P128" s="196"/>
    </row>
    <row r="129" spans="3:16" ht="12.75">
      <c r="C129" s="314"/>
      <c r="D129" s="314"/>
      <c r="P129" s="196"/>
    </row>
  </sheetData>
  <sheetProtection/>
  <mergeCells count="14">
    <mergeCell ref="B10:D10"/>
    <mergeCell ref="B104:D104"/>
    <mergeCell ref="B11:B12"/>
    <mergeCell ref="C11:C12"/>
    <mergeCell ref="D11:D12"/>
    <mergeCell ref="B90:B91"/>
    <mergeCell ref="C90:C91"/>
    <mergeCell ref="D90:D91"/>
    <mergeCell ref="B105:B106"/>
    <mergeCell ref="C105:C106"/>
    <mergeCell ref="D105:D106"/>
    <mergeCell ref="B125:B126"/>
    <mergeCell ref="C125:C126"/>
    <mergeCell ref="D125:D126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5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26" t="s">
        <v>18</v>
      </c>
      <c r="C6" s="526"/>
      <c r="D6" s="526"/>
      <c r="E6" s="526"/>
      <c r="F6" s="526"/>
      <c r="G6" s="526"/>
    </row>
    <row r="7" spans="2:7" s="4" customFormat="1" ht="15.75">
      <c r="B7" s="527" t="str">
        <f>+Indice!B7</f>
        <v>AL 31 DE DICIEMBRE 2021</v>
      </c>
      <c r="C7" s="527"/>
      <c r="D7" s="527"/>
      <c r="E7" s="527"/>
      <c r="F7" s="527"/>
      <c r="G7" s="527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31" t="s">
        <v>143</v>
      </c>
      <c r="E9" s="531"/>
      <c r="F9" s="531"/>
      <c r="G9" s="531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131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32" t="s">
        <v>132</v>
      </c>
      <c r="E13" s="532"/>
      <c r="F13" s="532"/>
      <c r="G13" s="532"/>
      <c r="H13" s="532"/>
    </row>
    <row r="14" spans="2:8" ht="15.75" customHeight="1">
      <c r="B14" s="52"/>
      <c r="C14" s="52"/>
      <c r="D14" s="532" t="s">
        <v>133</v>
      </c>
      <c r="E14" s="532"/>
      <c r="F14" s="532"/>
      <c r="G14" s="532"/>
      <c r="H14" s="532"/>
    </row>
    <row r="15" spans="2:7" ht="15.75" customHeight="1">
      <c r="B15" s="52"/>
      <c r="C15" s="52"/>
      <c r="D15" s="29" t="s">
        <v>134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127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128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129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130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33">
        <v>44561</v>
      </c>
      <c r="E22" s="530"/>
      <c r="F22" s="530"/>
      <c r="G22" s="530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30" t="s">
        <v>17</v>
      </c>
      <c r="E24" s="530"/>
      <c r="F24" s="530"/>
      <c r="G24" s="530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31" t="s">
        <v>152</v>
      </c>
      <c r="E26" s="531"/>
      <c r="F26" s="531"/>
      <c r="G26" s="531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160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83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44592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82</v>
      </c>
      <c r="C35" s="55" t="s">
        <v>8</v>
      </c>
      <c r="D35" s="29" t="s">
        <v>84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32" t="s">
        <v>161</v>
      </c>
      <c r="E37" s="532"/>
      <c r="F37" s="532"/>
      <c r="G37" s="532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30" t="s">
        <v>172</v>
      </c>
      <c r="E39" s="530"/>
      <c r="F39" s="530"/>
      <c r="G39" s="530"/>
      <c r="H39" s="529">
        <v>3.998</v>
      </c>
    </row>
    <row r="40" spans="4:8" ht="15.75" customHeight="1">
      <c r="D40" s="530"/>
      <c r="E40" s="530"/>
      <c r="F40" s="530"/>
      <c r="G40" s="530"/>
      <c r="H40" s="529"/>
    </row>
    <row r="41" ht="15.75" customHeight="1"/>
    <row r="42" spans="2:4" ht="12.75">
      <c r="B42" s="55" t="s">
        <v>70</v>
      </c>
      <c r="C42" s="55" t="s">
        <v>8</v>
      </c>
      <c r="D42" s="6" t="s">
        <v>71</v>
      </c>
    </row>
  </sheetData>
  <sheetProtection/>
  <mergeCells count="11"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  <mergeCell ref="D22:G22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5.75" customHeight="1"/>
    <row r="2" s="130" customFormat="1" ht="15.75" customHeight="1">
      <c r="D2" s="152"/>
    </row>
    <row r="3" s="130" customFormat="1" ht="15.75" customHeight="1">
      <c r="D3" s="152"/>
    </row>
    <row r="4" spans="1:19" s="154" customFormat="1" ht="18" customHeight="1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19.5" customHeight="1">
      <c r="A5" s="130"/>
      <c r="B5" s="526" t="s">
        <v>174</v>
      </c>
      <c r="C5" s="526"/>
      <c r="D5" s="526"/>
      <c r="E5" s="526"/>
      <c r="F5" s="526"/>
      <c r="G5" s="526"/>
      <c r="H5" s="526"/>
      <c r="I5" s="526"/>
      <c r="J5" s="526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34" t="s">
        <v>18</v>
      </c>
      <c r="C6" s="534"/>
      <c r="D6" s="534"/>
      <c r="E6" s="534"/>
      <c r="F6" s="534"/>
      <c r="G6" s="534"/>
      <c r="H6" s="534"/>
      <c r="I6" s="534"/>
      <c r="J6" s="534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27" t="str">
        <f>+Indice!B7</f>
        <v>AL 31 DE DICIEMBRE 2021</v>
      </c>
      <c r="C7" s="527"/>
      <c r="D7" s="527"/>
      <c r="E7" s="527"/>
      <c r="F7" s="527"/>
      <c r="G7" s="527"/>
      <c r="H7" s="527"/>
      <c r="I7" s="527"/>
      <c r="J7" s="527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27"/>
      <c r="C8" s="527"/>
      <c r="D8" s="527"/>
      <c r="E8" s="527"/>
      <c r="F8" s="527"/>
      <c r="G8" s="527"/>
      <c r="H8" s="527"/>
      <c r="I8" s="527"/>
      <c r="J8" s="527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35" t="s">
        <v>162</v>
      </c>
      <c r="C9" s="535"/>
      <c r="D9" s="535"/>
      <c r="E9" s="535"/>
      <c r="F9" s="535"/>
      <c r="G9" s="535"/>
      <c r="H9" s="262"/>
      <c r="I9" s="262"/>
      <c r="J9" s="262"/>
      <c r="K9" s="119"/>
      <c r="L9" s="199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36" t="s">
        <v>154</v>
      </c>
      <c r="C11" s="537"/>
      <c r="D11" s="537"/>
      <c r="E11" s="538"/>
      <c r="G11" s="536" t="s">
        <v>31</v>
      </c>
      <c r="H11" s="537"/>
      <c r="I11" s="537"/>
      <c r="J11" s="538"/>
    </row>
    <row r="12" spans="2:10" ht="19.5" customHeight="1">
      <c r="B12" s="121"/>
      <c r="C12" s="414" t="s">
        <v>77</v>
      </c>
      <c r="D12" s="415" t="s">
        <v>163</v>
      </c>
      <c r="E12" s="411" t="s">
        <v>27</v>
      </c>
      <c r="G12" s="124"/>
      <c r="H12" s="408" t="s">
        <v>77</v>
      </c>
      <c r="I12" s="408" t="str">
        <f>+D12</f>
        <v>Soles</v>
      </c>
      <c r="J12" s="491" t="s">
        <v>229</v>
      </c>
    </row>
    <row r="13" spans="2:15" ht="19.5" customHeight="1">
      <c r="B13" s="125" t="s">
        <v>73</v>
      </c>
      <c r="C13" s="409">
        <f>(+'DEP-C2'!C18+'DEP-C2'!C42)/1000</f>
        <v>7402.06335374</v>
      </c>
      <c r="D13" s="409">
        <f>(+'DEP-C2'!D18+'DEP-C2'!D42)/1000</f>
        <v>29593.449288249998</v>
      </c>
      <c r="E13" s="412">
        <f>+C13/$C$15</f>
        <v>0.7735859887194876</v>
      </c>
      <c r="G13" s="125" t="s">
        <v>74</v>
      </c>
      <c r="H13" s="409">
        <f>+C21+C22+C23+C24</f>
        <v>3647.0996768600003</v>
      </c>
      <c r="I13" s="409">
        <f>+D21+D22+D23+D24</f>
        <v>14581.104508069999</v>
      </c>
      <c r="J13" s="489">
        <f>+H13/$H$15</f>
        <v>0.38115658765021804</v>
      </c>
      <c r="N13" s="200"/>
      <c r="O13" s="200"/>
    </row>
    <row r="14" spans="2:15" ht="19.5" customHeight="1">
      <c r="B14" s="125" t="s">
        <v>72</v>
      </c>
      <c r="C14" s="409">
        <f>(+'DEP-C2'!C14+'DEP-C2'!C38)/1000</f>
        <v>2166.44417054</v>
      </c>
      <c r="D14" s="409">
        <f>(+'DEP-C2'!D14+'DEP-C2'!D38)/1000</f>
        <v>8661.4437938204</v>
      </c>
      <c r="E14" s="412">
        <f>+C14/$C$15</f>
        <v>0.22641401128051244</v>
      </c>
      <c r="G14" s="125" t="s">
        <v>75</v>
      </c>
      <c r="H14" s="409">
        <f>+C20</f>
        <v>5921.40784742</v>
      </c>
      <c r="I14" s="409">
        <f>+D20</f>
        <v>23673.78857398</v>
      </c>
      <c r="J14" s="489">
        <f>+H14/$H$15</f>
        <v>0.618843412349782</v>
      </c>
      <c r="O14" s="156"/>
    </row>
    <row r="15" spans="2:15" ht="19.5" customHeight="1">
      <c r="B15" s="126" t="s">
        <v>28</v>
      </c>
      <c r="C15" s="410">
        <f>SUM(C13:C14)</f>
        <v>9568.50752428</v>
      </c>
      <c r="D15" s="410">
        <f>SUM(D13:D14)</f>
        <v>38254.8930820704</v>
      </c>
      <c r="E15" s="413">
        <f>SUM(E13:E14)</f>
        <v>1</v>
      </c>
      <c r="G15" s="126" t="s">
        <v>28</v>
      </c>
      <c r="H15" s="410">
        <f>SUM(H13:H14)</f>
        <v>9568.50752428</v>
      </c>
      <c r="I15" s="410">
        <f>SUM(I13:I14)</f>
        <v>38254.893082049995</v>
      </c>
      <c r="J15" s="490">
        <f>SUM(J13:J14)</f>
        <v>1</v>
      </c>
      <c r="O15" s="156"/>
    </row>
    <row r="16" spans="2:10" ht="19.5" customHeight="1">
      <c r="B16" s="123"/>
      <c r="C16" s="498"/>
      <c r="D16" s="271"/>
      <c r="E16" s="223"/>
      <c r="G16" s="123"/>
      <c r="H16" s="272"/>
      <c r="I16" s="272"/>
      <c r="J16" s="223"/>
    </row>
    <row r="17" spans="2:8" ht="19.5" customHeight="1">
      <c r="B17" s="164"/>
      <c r="C17" s="273"/>
      <c r="H17" s="127"/>
    </row>
    <row r="18" spans="2:12" ht="19.5" customHeight="1">
      <c r="B18" s="536" t="s">
        <v>68</v>
      </c>
      <c r="C18" s="537"/>
      <c r="D18" s="537"/>
      <c r="E18" s="538"/>
      <c r="G18" s="536" t="s">
        <v>62</v>
      </c>
      <c r="H18" s="537"/>
      <c r="I18" s="537"/>
      <c r="J18" s="538"/>
      <c r="L18" s="127"/>
    </row>
    <row r="19" spans="2:10" ht="19.5" customHeight="1">
      <c r="B19" s="124"/>
      <c r="C19" s="408" t="s">
        <v>77</v>
      </c>
      <c r="D19" s="408" t="str">
        <f>+D12</f>
        <v>Soles</v>
      </c>
      <c r="E19" s="416" t="s">
        <v>27</v>
      </c>
      <c r="G19" s="124"/>
      <c r="H19" s="408" t="s">
        <v>77</v>
      </c>
      <c r="I19" s="408" t="str">
        <f>+I12</f>
        <v>Soles</v>
      </c>
      <c r="J19" s="416" t="s">
        <v>27</v>
      </c>
    </row>
    <row r="20" spans="2:12" ht="19.5" customHeight="1">
      <c r="B20" s="125" t="s">
        <v>75</v>
      </c>
      <c r="C20" s="409">
        <f>+(+'DEP-C7'!D20+'DEP-C7'!D35)/1000</f>
        <v>5921.40784742</v>
      </c>
      <c r="D20" s="409">
        <f>+(+'DEP-C7'!E20+'DEP-C7'!E35)/1000</f>
        <v>23673.78857398</v>
      </c>
      <c r="E20" s="412">
        <f>+C20/$C$25</f>
        <v>0.618843412349782</v>
      </c>
      <c r="G20" s="125" t="s">
        <v>77</v>
      </c>
      <c r="H20" s="409">
        <f>('DEP-C3'!C22+'DEP-C3'!C57)/1000</f>
        <v>7297.8451104099995</v>
      </c>
      <c r="I20" s="409">
        <f>('DEP-C3'!D22+'DEP-C3'!D57)/1000</f>
        <v>29176.78475142</v>
      </c>
      <c r="J20" s="412">
        <f>+H20/$H$24</f>
        <v>0.7626941915331921</v>
      </c>
      <c r="L20" s="157"/>
    </row>
    <row r="21" spans="2:12" ht="19.5" customHeight="1">
      <c r="B21" s="125" t="s">
        <v>76</v>
      </c>
      <c r="C21" s="409">
        <f>+(+'DEP-C7'!D15+'DEP-C7'!D30+'DEP-C7'!D73)/1000</f>
        <v>2185.56457717</v>
      </c>
      <c r="D21" s="409">
        <f>+(+'DEP-C7'!E15+'DEP-C7'!E30+'DEP-C7'!E73)/1000</f>
        <v>8737.88717952</v>
      </c>
      <c r="E21" s="412">
        <f>+C21/$C$25</f>
        <v>0.2284122755428838</v>
      </c>
      <c r="G21" s="125" t="s">
        <v>163</v>
      </c>
      <c r="H21" s="409">
        <f>('DEP-C3'!C14+'DEP-C3'!C49)/1000</f>
        <v>1840.38779011</v>
      </c>
      <c r="I21" s="409">
        <f>(+'DEP-C3'!D14+'DEP-C3'!D49)/1000</f>
        <v>7357.870384870001</v>
      </c>
      <c r="J21" s="412">
        <f>+H21/$H$24</f>
        <v>0.19233801984688134</v>
      </c>
      <c r="L21" s="170"/>
    </row>
    <row r="22" spans="2:12" ht="19.5" customHeight="1">
      <c r="B22" s="125" t="s">
        <v>215</v>
      </c>
      <c r="C22" s="409">
        <f>+('DEP-C7'!D22+'DEP-C7'!D38)/1000</f>
        <v>540.3826773</v>
      </c>
      <c r="D22" s="409">
        <f>+('DEP-C7'!E22+'DEP-C7'!E38)/1000</f>
        <v>2160.44994384</v>
      </c>
      <c r="E22" s="412">
        <f>+C22/$C$25</f>
        <v>0.05647512696507621</v>
      </c>
      <c r="G22" s="125" t="s">
        <v>78</v>
      </c>
      <c r="H22" s="409">
        <f>+'DEP-C3'!C26/1000</f>
        <v>193.11447075</v>
      </c>
      <c r="I22" s="409">
        <f>+'DEP-C3'!D26/1000</f>
        <v>772.07165406</v>
      </c>
      <c r="J22" s="412">
        <f>+H22/$H$24</f>
        <v>0.020182298050137267</v>
      </c>
      <c r="L22" s="201"/>
    </row>
    <row r="23" spans="2:12" ht="19.5" customHeight="1">
      <c r="B23" s="125" t="s">
        <v>126</v>
      </c>
      <c r="C23" s="409">
        <f>+('DEP-C7'!D18+'DEP-C7'!D33+'DEP-C7'!D83)/1000</f>
        <v>409.54909127999997</v>
      </c>
      <c r="D23" s="409">
        <f>(+'DEP-C7'!E18+'DEP-C7'!E33+'DEP-C7'!E83)/1000</f>
        <v>1637.37726694</v>
      </c>
      <c r="E23" s="412">
        <f>+C23/$C$25</f>
        <v>0.042801773446984596</v>
      </c>
      <c r="G23" s="125" t="s">
        <v>79</v>
      </c>
      <c r="H23" s="235">
        <f>+'DEP-C3'!C30/1000</f>
        <v>237.16015301000002</v>
      </c>
      <c r="I23" s="235">
        <f>+'DEP-C3'!D30/1000</f>
        <v>948.1662917299999</v>
      </c>
      <c r="J23" s="412">
        <f>+H23/$H$24</f>
        <v>0.024785490569789313</v>
      </c>
      <c r="L23" s="170"/>
    </row>
    <row r="24" spans="2:12" ht="19.5" customHeight="1">
      <c r="B24" s="125" t="s">
        <v>36</v>
      </c>
      <c r="C24" s="409">
        <f>+('DEP-C7'!D25+'DEP-C7'!D40+'DEP-C7'!D85)/1000</f>
        <v>511.6033311100001</v>
      </c>
      <c r="D24" s="409">
        <f>+('DEP-C7'!E25+'DEP-C7'!E40+'DEP-C7'!E85)/1000</f>
        <v>2045.39011777</v>
      </c>
      <c r="E24" s="412">
        <f>+C24/$C$25</f>
        <v>0.053467411695273415</v>
      </c>
      <c r="G24" s="126" t="s">
        <v>28</v>
      </c>
      <c r="H24" s="410">
        <f>SUM(H20:H23)</f>
        <v>9568.50752428</v>
      </c>
      <c r="I24" s="410">
        <f>SUM(I20:I23)</f>
        <v>38254.893082079994</v>
      </c>
      <c r="J24" s="413">
        <f>SUM(J20:J23)</f>
        <v>1</v>
      </c>
      <c r="L24" s="202"/>
    </row>
    <row r="25" spans="2:5" ht="19.5" customHeight="1">
      <c r="B25" s="126" t="s">
        <v>28</v>
      </c>
      <c r="C25" s="410">
        <f>SUM(C20:C24)</f>
        <v>9568.50752428</v>
      </c>
      <c r="D25" s="410">
        <f>SUM(D20:D24)</f>
        <v>38254.89308205</v>
      </c>
      <c r="E25" s="413">
        <f>SUM(E20:E24)</f>
        <v>1</v>
      </c>
    </row>
    <row r="26" spans="3:9" ht="19.5" customHeight="1">
      <c r="C26" s="235"/>
      <c r="H26" s="170"/>
      <c r="I26" s="170"/>
    </row>
    <row r="27" spans="2:8" ht="19.5" customHeight="1">
      <c r="B27" s="123"/>
      <c r="C27" s="274"/>
      <c r="D27" s="275"/>
      <c r="E27" s="223"/>
      <c r="G27" s="225"/>
      <c r="H27" s="235"/>
    </row>
    <row r="28" spans="2:10" ht="19.5" customHeight="1">
      <c r="B28" s="536" t="s">
        <v>29</v>
      </c>
      <c r="C28" s="537"/>
      <c r="D28" s="537"/>
      <c r="E28" s="538"/>
      <c r="G28" s="536" t="s">
        <v>30</v>
      </c>
      <c r="H28" s="537"/>
      <c r="I28" s="537"/>
      <c r="J28" s="538"/>
    </row>
    <row r="29" spans="2:10" ht="19.5" customHeight="1">
      <c r="B29" s="124"/>
      <c r="C29" s="408" t="s">
        <v>77</v>
      </c>
      <c r="D29" s="408" t="str">
        <f>+D19</f>
        <v>Soles</v>
      </c>
      <c r="E29" s="416" t="s">
        <v>27</v>
      </c>
      <c r="G29" s="124"/>
      <c r="H29" s="122" t="s">
        <v>77</v>
      </c>
      <c r="I29" s="122" t="str">
        <f>+I19</f>
        <v>Soles</v>
      </c>
      <c r="J29" s="417" t="s">
        <v>27</v>
      </c>
    </row>
    <row r="30" spans="2:14" ht="19.5" customHeight="1">
      <c r="B30" s="125" t="s">
        <v>92</v>
      </c>
      <c r="C30" s="409">
        <f>(+'DEP-C2'!C15+'DEP-C2'!C19+'DEP-C2'!C43)/1000</f>
        <v>3843.41555427</v>
      </c>
      <c r="D30" s="409">
        <f>(+'DEP-C2'!D15+'DEP-C2'!D19+'DEP-C2'!D43)/1000</f>
        <v>15365.97538597</v>
      </c>
      <c r="E30" s="412">
        <f>+C30/$C$32</f>
        <v>0.40167346313073043</v>
      </c>
      <c r="G30" s="125" t="s">
        <v>80</v>
      </c>
      <c r="H30" s="409">
        <f>'DEP-C2'!C22/1000</f>
        <v>8717.27714948</v>
      </c>
      <c r="I30" s="409">
        <f>+'DEP-C2'!D22/1000</f>
        <v>34851.67404362</v>
      </c>
      <c r="J30" s="412">
        <f>+H30/$H$32</f>
        <v>0.9110383335499282</v>
      </c>
      <c r="N30" s="157"/>
    </row>
    <row r="31" spans="2:14" ht="19.5" customHeight="1">
      <c r="B31" s="125" t="s">
        <v>93</v>
      </c>
      <c r="C31" s="409">
        <f>(+'DEP-C2'!C16+'DEP-C2'!C20+'DEP-C2'!C40+'DEP-C2'!C44)/1000</f>
        <v>5725.09197001</v>
      </c>
      <c r="D31" s="409">
        <f>(+'DEP-C2'!D16+'DEP-C2'!D20+'DEP-C2'!D40+'DEP-C2'!D44)/1000</f>
        <v>22888.9176961004</v>
      </c>
      <c r="E31" s="412">
        <f>+C31/$C$32</f>
        <v>0.5983265368692694</v>
      </c>
      <c r="G31" s="125" t="s">
        <v>81</v>
      </c>
      <c r="H31" s="409">
        <f>+'DEP-C2'!C46/1000</f>
        <v>851.2303747999999</v>
      </c>
      <c r="I31" s="409">
        <f>+'DEP-C2'!D46/1000</f>
        <v>3403.2190384503997</v>
      </c>
      <c r="J31" s="412">
        <f>+H31/$H$32</f>
        <v>0.08896166645007184</v>
      </c>
      <c r="N31" s="158"/>
    </row>
    <row r="32" spans="2:14" ht="19.5" customHeight="1">
      <c r="B32" s="126" t="s">
        <v>28</v>
      </c>
      <c r="C32" s="410">
        <f>SUM(C30:C31)</f>
        <v>9568.507524280001</v>
      </c>
      <c r="D32" s="410">
        <f>SUM(D30:D31)</f>
        <v>38254.8930820704</v>
      </c>
      <c r="E32" s="413">
        <f>SUM(E30:E31)</f>
        <v>0.9999999999999998</v>
      </c>
      <c r="G32" s="126" t="s">
        <v>28</v>
      </c>
      <c r="H32" s="410">
        <f>SUM(H30:H31)</f>
        <v>9568.50752428</v>
      </c>
      <c r="I32" s="410">
        <f>SUM(I30:I31)</f>
        <v>38254.8930820704</v>
      </c>
      <c r="J32" s="413">
        <f>SUM(J30:J31)</f>
        <v>1</v>
      </c>
      <c r="N32" s="156"/>
    </row>
    <row r="33" ht="8.25" customHeight="1"/>
    <row r="34" spans="2:10" ht="15.75" customHeight="1">
      <c r="B34" s="236"/>
      <c r="C34" s="276"/>
      <c r="D34" s="277"/>
      <c r="E34" s="236"/>
      <c r="F34" s="236"/>
      <c r="G34" s="236"/>
      <c r="H34" s="277"/>
      <c r="I34" s="277"/>
      <c r="J34" s="236"/>
    </row>
    <row r="35" spans="2:10" ht="5.25" customHeight="1">
      <c r="B35" s="237"/>
      <c r="C35" s="237"/>
      <c r="D35" s="237"/>
      <c r="E35" s="237"/>
      <c r="F35" s="237"/>
      <c r="G35" s="237"/>
      <c r="H35" s="237"/>
      <c r="J35" s="238"/>
    </row>
    <row r="36" spans="2:9" ht="15.75" customHeight="1">
      <c r="B36" s="239"/>
      <c r="C36" s="240"/>
      <c r="D36" s="240"/>
      <c r="E36" s="241"/>
      <c r="F36" s="86"/>
      <c r="G36" s="86"/>
      <c r="H36" s="242"/>
      <c r="I36" s="170"/>
    </row>
    <row r="37" spans="2:8" ht="15.75" customHeight="1">
      <c r="B37" s="539"/>
      <c r="C37" s="540"/>
      <c r="D37" s="540"/>
      <c r="E37" s="540"/>
      <c r="F37" s="86"/>
      <c r="G37" s="86"/>
      <c r="H37" s="86"/>
    </row>
    <row r="38" spans="2:6" s="77" customFormat="1" ht="15.75" customHeight="1">
      <c r="B38" s="86"/>
      <c r="C38" s="243"/>
      <c r="D38" s="244"/>
      <c r="E38" s="86"/>
      <c r="F38" s="252"/>
    </row>
    <row r="39" spans="2:6" s="77" customFormat="1" ht="15.75" customHeight="1">
      <c r="B39" s="86"/>
      <c r="C39" s="159"/>
      <c r="D39" s="86"/>
      <c r="E39" s="86"/>
      <c r="F39" s="252"/>
    </row>
  </sheetData>
  <sheetProtection/>
  <mergeCells count="12">
    <mergeCell ref="B37:E37"/>
    <mergeCell ref="B18:E18"/>
    <mergeCell ref="G18:J18"/>
    <mergeCell ref="G28:J28"/>
    <mergeCell ref="B28:E28"/>
    <mergeCell ref="B6:J6"/>
    <mergeCell ref="B9:G9"/>
    <mergeCell ref="B5:J5"/>
    <mergeCell ref="B7:J7"/>
    <mergeCell ref="B11:E11"/>
    <mergeCell ref="G11:J11"/>
    <mergeCell ref="B8:J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26" t="s">
        <v>175</v>
      </c>
      <c r="C5" s="526"/>
      <c r="D5" s="526"/>
      <c r="E5" s="526"/>
      <c r="F5" s="526"/>
      <c r="G5" s="526"/>
      <c r="H5" s="526"/>
    </row>
    <row r="6" spans="2:8" s="4" customFormat="1" ht="19.5" customHeight="1">
      <c r="B6" s="534" t="s">
        <v>18</v>
      </c>
      <c r="C6" s="534"/>
      <c r="D6" s="534"/>
      <c r="E6" s="534"/>
      <c r="F6" s="534"/>
      <c r="G6" s="534"/>
      <c r="H6" s="534"/>
    </row>
    <row r="7" spans="2:8" s="4" customFormat="1" ht="18" customHeight="1">
      <c r="B7" s="527" t="str">
        <f>+Indice!B7</f>
        <v>AL 31 DE DICIEMBRE 2021</v>
      </c>
      <c r="C7" s="527"/>
      <c r="D7" s="527"/>
      <c r="E7" s="527"/>
      <c r="F7" s="527"/>
      <c r="G7" s="527"/>
      <c r="H7" s="527"/>
    </row>
    <row r="8" spans="2:9" s="4" customFormat="1" ht="24.75" customHeight="1">
      <c r="B8" s="262"/>
      <c r="C8" s="262"/>
      <c r="D8" s="262"/>
      <c r="E8" s="262"/>
      <c r="F8" s="262"/>
      <c r="G8" s="262"/>
      <c r="H8" s="262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43" t="str">
        <f>+Resumen!B11:E11</f>
        <v>TIPO DE DEUDA</v>
      </c>
      <c r="C10" s="543"/>
      <c r="D10" s="543"/>
      <c r="E10" s="90"/>
      <c r="F10" s="543" t="s">
        <v>31</v>
      </c>
      <c r="G10" s="543"/>
      <c r="H10" s="543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43" t="str">
        <f>+Resumen!B18:E18</f>
        <v>GRUPO DEL ACREEDOR</v>
      </c>
      <c r="C28" s="543"/>
      <c r="D28" s="543"/>
      <c r="F28" s="543" t="s">
        <v>62</v>
      </c>
      <c r="G28" s="543"/>
      <c r="H28" s="543"/>
    </row>
    <row r="48" spans="2:8" s="23" customFormat="1" ht="16.5">
      <c r="B48" s="543" t="s">
        <v>29</v>
      </c>
      <c r="C48" s="543"/>
      <c r="D48" s="543"/>
      <c r="F48" s="543" t="s">
        <v>30</v>
      </c>
      <c r="G48" s="543"/>
      <c r="H48" s="543"/>
    </row>
    <row r="66" spans="2:8" ht="30" customHeight="1">
      <c r="B66" s="544"/>
      <c r="C66" s="544"/>
      <c r="D66" s="544"/>
      <c r="E66" s="544"/>
      <c r="F66" s="544"/>
      <c r="G66" s="544"/>
      <c r="H66" s="544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41"/>
      <c r="C69" s="542"/>
      <c r="D69" s="542"/>
      <c r="E69" s="542"/>
      <c r="F69" s="51"/>
      <c r="G69" s="51"/>
      <c r="H69" s="51"/>
    </row>
    <row r="70" spans="2:8" ht="15.75" customHeight="1">
      <c r="B70" s="541"/>
      <c r="C70" s="542"/>
      <c r="D70" s="542"/>
      <c r="E70" s="542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70:E70"/>
    <mergeCell ref="B28:D28"/>
    <mergeCell ref="F28:H28"/>
    <mergeCell ref="B66:H66"/>
    <mergeCell ref="B48:D48"/>
    <mergeCell ref="B6:H6"/>
    <mergeCell ref="B69:E69"/>
    <mergeCell ref="F48:H48"/>
    <mergeCell ref="B5:H5"/>
    <mergeCell ref="B7:H7"/>
    <mergeCell ref="B10:D10"/>
    <mergeCell ref="F10:H10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customWidth="1"/>
    <col min="30" max="37" width="9.140625" style="9" customWidth="1"/>
    <col min="38" max="223" width="11.421875" style="9" customWidth="1"/>
    <col min="224" max="224" width="25.7109375" style="9" customWidth="1"/>
    <col min="225" max="16384" width="15.7109375" style="9" customWidth="1"/>
  </cols>
  <sheetData>
    <row r="1" ht="12.75">
      <c r="B1" s="8"/>
    </row>
    <row r="2" spans="2:22" s="11" customFormat="1" ht="18">
      <c r="B2" s="579"/>
      <c r="C2" s="579"/>
      <c r="D2" s="579"/>
      <c r="E2" s="579"/>
      <c r="F2" s="579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79"/>
      <c r="C3" s="579"/>
      <c r="D3" s="579"/>
      <c r="E3" s="579"/>
      <c r="F3" s="579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4" t="s">
        <v>114</v>
      </c>
      <c r="C6" s="374"/>
      <c r="D6" s="374"/>
      <c r="E6" s="374"/>
      <c r="F6" s="374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8" t="s">
        <v>165</v>
      </c>
      <c r="C7" s="263"/>
      <c r="D7" s="263"/>
      <c r="E7" s="263"/>
      <c r="F7" s="263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8" t="s">
        <v>155</v>
      </c>
      <c r="C8" s="133"/>
      <c r="D8" s="263"/>
      <c r="E8" s="263"/>
      <c r="F8" s="263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4" t="s">
        <v>260</v>
      </c>
      <c r="C9" s="133"/>
      <c r="D9" s="263"/>
      <c r="E9" s="263"/>
      <c r="F9" s="263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7" t="s">
        <v>113</v>
      </c>
      <c r="C10" s="268"/>
      <c r="D10" s="263"/>
      <c r="E10" s="263"/>
      <c r="F10" s="263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50"/>
      <c r="C11" s="250"/>
      <c r="D11" s="250"/>
      <c r="E11" s="250"/>
      <c r="F11" s="172"/>
      <c r="G11" s="22"/>
    </row>
    <row r="12" spans="2:38" s="27" customFormat="1" ht="18" customHeight="1">
      <c r="B12" s="549" t="s">
        <v>141</v>
      </c>
      <c r="C12" s="551">
        <v>2009</v>
      </c>
      <c r="D12" s="582">
        <v>2010</v>
      </c>
      <c r="E12" s="580">
        <v>2011</v>
      </c>
      <c r="F12" s="551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51">
        <v>2013</v>
      </c>
      <c r="S12" s="551">
        <v>2014</v>
      </c>
      <c r="T12" s="575">
        <v>2015</v>
      </c>
      <c r="U12" s="559">
        <v>2016</v>
      </c>
      <c r="V12" s="577">
        <v>2017</v>
      </c>
      <c r="W12" s="545">
        <v>2018</v>
      </c>
      <c r="X12" s="545">
        <v>2019</v>
      </c>
      <c r="Y12" s="545">
        <v>2020</v>
      </c>
      <c r="Z12" s="572">
        <v>2021</v>
      </c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4"/>
      <c r="AL12" s="494"/>
    </row>
    <row r="13" spans="2:38" s="27" customFormat="1" ht="18" customHeight="1">
      <c r="B13" s="550"/>
      <c r="C13" s="552"/>
      <c r="D13" s="583"/>
      <c r="E13" s="581"/>
      <c r="F13" s="552"/>
      <c r="G13" s="107" t="s">
        <v>98</v>
      </c>
      <c r="H13" s="107" t="s">
        <v>99</v>
      </c>
      <c r="I13" s="108" t="s">
        <v>104</v>
      </c>
      <c r="J13" s="108" t="s">
        <v>106</v>
      </c>
      <c r="K13" s="108" t="s">
        <v>110</v>
      </c>
      <c r="L13" s="108" t="s">
        <v>123</v>
      </c>
      <c r="M13" s="108" t="s">
        <v>142</v>
      </c>
      <c r="N13" s="108" t="s">
        <v>144</v>
      </c>
      <c r="O13" s="108" t="s">
        <v>146</v>
      </c>
      <c r="P13" s="108" t="s">
        <v>149</v>
      </c>
      <c r="Q13" s="108" t="s">
        <v>151</v>
      </c>
      <c r="R13" s="552"/>
      <c r="S13" s="552"/>
      <c r="T13" s="576"/>
      <c r="U13" s="560"/>
      <c r="V13" s="578"/>
      <c r="W13" s="546"/>
      <c r="X13" s="546"/>
      <c r="Y13" s="546"/>
      <c r="Z13" s="493" t="s">
        <v>98</v>
      </c>
      <c r="AA13" s="426" t="s">
        <v>99</v>
      </c>
      <c r="AB13" s="430" t="s">
        <v>104</v>
      </c>
      <c r="AC13" s="432" t="s">
        <v>106</v>
      </c>
      <c r="AD13" s="437" t="s">
        <v>235</v>
      </c>
      <c r="AE13" s="430" t="s">
        <v>123</v>
      </c>
      <c r="AF13" s="439" t="s">
        <v>142</v>
      </c>
      <c r="AG13" s="448" t="s">
        <v>144</v>
      </c>
      <c r="AH13" s="451" t="s">
        <v>249</v>
      </c>
      <c r="AI13" s="481" t="s">
        <v>149</v>
      </c>
      <c r="AJ13" s="439" t="s">
        <v>151</v>
      </c>
      <c r="AK13" s="480" t="s">
        <v>173</v>
      </c>
      <c r="AL13" s="494"/>
    </row>
    <row r="14" spans="2:38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9"/>
      <c r="U14" s="402"/>
      <c r="V14" s="449"/>
      <c r="W14" s="482"/>
      <c r="X14" s="482"/>
      <c r="Y14" s="440"/>
      <c r="Z14" s="402"/>
      <c r="AA14" s="427"/>
      <c r="AB14" s="182"/>
      <c r="AC14" s="427"/>
      <c r="AD14" s="438"/>
      <c r="AE14" s="182"/>
      <c r="AF14" s="440"/>
      <c r="AG14" s="449"/>
      <c r="AH14" s="403"/>
      <c r="AI14" s="482"/>
      <c r="AJ14" s="440"/>
      <c r="AK14" s="440"/>
      <c r="AL14" s="494"/>
    </row>
    <row r="15" spans="2:39" s="25" customFormat="1" ht="21.75" customHeight="1">
      <c r="B15" s="178" t="s">
        <v>34</v>
      </c>
      <c r="C15" s="487">
        <v>1389</v>
      </c>
      <c r="D15" s="487">
        <v>2144</v>
      </c>
      <c r="E15" s="485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00">
        <v>2258.8960634599985</v>
      </c>
      <c r="U15" s="404">
        <v>2931.5247573100005</v>
      </c>
      <c r="V15" s="428">
        <v>2816.8010528699997</v>
      </c>
      <c r="W15" s="483">
        <v>2585.67327702</v>
      </c>
      <c r="X15" s="483">
        <v>2512.4269972</v>
      </c>
      <c r="Y15" s="441">
        <v>2847.266591940001</v>
      </c>
      <c r="Z15" s="404">
        <v>2669.7649879099995</v>
      </c>
      <c r="AA15" s="428">
        <v>2280.8565583599984</v>
      </c>
      <c r="AB15" s="33">
        <v>2080.1915407399993</v>
      </c>
      <c r="AC15" s="428">
        <v>2002.289934100001</v>
      </c>
      <c r="AD15" s="400">
        <v>2000.7607678600002</v>
      </c>
      <c r="AE15" s="400">
        <v>1909.2826383400002</v>
      </c>
      <c r="AF15" s="483">
        <v>1829.166610660001</v>
      </c>
      <c r="AG15" s="483">
        <v>1874.6325798299988</v>
      </c>
      <c r="AH15" s="441">
        <v>1899.0710651699999</v>
      </c>
      <c r="AI15" s="483">
        <v>1939.514755</v>
      </c>
      <c r="AJ15" s="441">
        <v>1986.8050023</v>
      </c>
      <c r="AK15" s="441">
        <v>2166.44417054</v>
      </c>
      <c r="AL15" s="517"/>
      <c r="AM15" s="462"/>
    </row>
    <row r="16" spans="2:39" s="25" customFormat="1" ht="21.75" customHeight="1">
      <c r="B16" s="178" t="s">
        <v>33</v>
      </c>
      <c r="C16" s="487">
        <v>256</v>
      </c>
      <c r="D16" s="487">
        <v>389</v>
      </c>
      <c r="E16" s="485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00">
        <v>4201.51382237</v>
      </c>
      <c r="U16" s="404">
        <v>4539.076503679999</v>
      </c>
      <c r="V16" s="428">
        <v>5985.46242653</v>
      </c>
      <c r="W16" s="483">
        <v>7233.929935290001</v>
      </c>
      <c r="X16" s="483">
        <v>6012.22120457</v>
      </c>
      <c r="Y16" s="441">
        <v>6614.97187366</v>
      </c>
      <c r="Z16" s="404">
        <v>6532.3018552</v>
      </c>
      <c r="AA16" s="428">
        <v>6254.41370703</v>
      </c>
      <c r="AB16" s="33">
        <v>6211.728456299999</v>
      </c>
      <c r="AC16" s="428">
        <v>6174.95095902</v>
      </c>
      <c r="AD16" s="400">
        <v>7204.2090273799995</v>
      </c>
      <c r="AE16" s="400">
        <v>7147.625556479999</v>
      </c>
      <c r="AF16" s="483">
        <v>7128.95570324</v>
      </c>
      <c r="AG16" s="483">
        <v>7137.063251669999</v>
      </c>
      <c r="AH16" s="441">
        <v>7162.63829835</v>
      </c>
      <c r="AI16" s="483">
        <v>7256.429646359999</v>
      </c>
      <c r="AJ16" s="441">
        <v>7243.23665188</v>
      </c>
      <c r="AK16" s="441">
        <v>7402.06335374</v>
      </c>
      <c r="AL16" s="518"/>
      <c r="AM16" s="462"/>
    </row>
    <row r="17" spans="2:38" s="25" customFormat="1" ht="6" customHeight="1">
      <c r="B17" s="179"/>
      <c r="C17" s="488"/>
      <c r="D17" s="488"/>
      <c r="E17" s="486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1"/>
      <c r="U17" s="405"/>
      <c r="V17" s="450"/>
      <c r="W17" s="484"/>
      <c r="X17" s="484"/>
      <c r="Y17" s="442"/>
      <c r="Z17" s="405"/>
      <c r="AA17" s="429"/>
      <c r="AB17" s="35"/>
      <c r="AC17" s="429"/>
      <c r="AD17" s="401"/>
      <c r="AE17" s="401"/>
      <c r="AF17" s="484"/>
      <c r="AG17" s="484"/>
      <c r="AH17" s="442"/>
      <c r="AI17" s="484"/>
      <c r="AJ17" s="442"/>
      <c r="AK17" s="442"/>
      <c r="AL17" s="495"/>
    </row>
    <row r="18" spans="2:38" s="27" customFormat="1" ht="15" customHeight="1">
      <c r="B18" s="564" t="s">
        <v>100</v>
      </c>
      <c r="C18" s="566">
        <f aca="true" t="shared" si="0" ref="C18:H18">SUM(C15:C16)</f>
        <v>1645</v>
      </c>
      <c r="D18" s="566">
        <f t="shared" si="0"/>
        <v>2533</v>
      </c>
      <c r="E18" s="557">
        <f t="shared" si="0"/>
        <v>2778</v>
      </c>
      <c r="F18" s="566">
        <f t="shared" si="0"/>
        <v>3231.62940566</v>
      </c>
      <c r="G18" s="568">
        <f t="shared" si="0"/>
        <v>3978.2822575499995</v>
      </c>
      <c r="H18" s="568">
        <f t="shared" si="0"/>
        <v>4283.16118678</v>
      </c>
      <c r="I18" s="555">
        <f aca="true" t="shared" si="1" ref="I18:N18">SUM(I15:I16)</f>
        <v>4271.37034379</v>
      </c>
      <c r="J18" s="555">
        <f t="shared" si="1"/>
        <v>3622.58121752</v>
      </c>
      <c r="K18" s="555">
        <f t="shared" si="1"/>
        <v>3177.2183911999996</v>
      </c>
      <c r="L18" s="555">
        <f t="shared" si="1"/>
        <v>3224.1298934800006</v>
      </c>
      <c r="M18" s="555">
        <f t="shared" si="1"/>
        <v>3273.10540427</v>
      </c>
      <c r="N18" s="555">
        <f t="shared" si="1"/>
        <v>3382.31552197</v>
      </c>
      <c r="O18" s="555">
        <f>+O15+O16</f>
        <v>3510.4566990000008</v>
      </c>
      <c r="P18" s="555">
        <f>+P15+P16</f>
        <v>3663.6902058299997</v>
      </c>
      <c r="Q18" s="555">
        <f>+Q15+Q16</f>
        <v>3934.70126796</v>
      </c>
      <c r="R18" s="555">
        <f>+R15+R16</f>
        <v>4098.53643417</v>
      </c>
      <c r="S18" s="555">
        <f>+S15+S16</f>
        <v>5844.665124709998</v>
      </c>
      <c r="T18" s="561">
        <f aca="true" t="shared" si="2" ref="T18:AD18">+T16+T15</f>
        <v>6460.4098858299985</v>
      </c>
      <c r="U18" s="570">
        <f>+U16+U15</f>
        <v>7470.60126099</v>
      </c>
      <c r="V18" s="561">
        <f>+V16+V15</f>
        <v>8802.2634794</v>
      </c>
      <c r="W18" s="547">
        <f>+W16+W15</f>
        <v>9819.603212310001</v>
      </c>
      <c r="X18" s="547">
        <f>+X16+X15</f>
        <v>8524.64820177</v>
      </c>
      <c r="Y18" s="553">
        <f>+Y16+Y15</f>
        <v>9462.238465600001</v>
      </c>
      <c r="Z18" s="547">
        <f t="shared" si="2"/>
        <v>9202.06684311</v>
      </c>
      <c r="AA18" s="557">
        <f t="shared" si="2"/>
        <v>8535.270265389998</v>
      </c>
      <c r="AB18" s="570">
        <f t="shared" si="2"/>
        <v>8291.919997039999</v>
      </c>
      <c r="AC18" s="557">
        <f t="shared" si="2"/>
        <v>8177.240893120001</v>
      </c>
      <c r="AD18" s="561">
        <f t="shared" si="2"/>
        <v>9204.96979524</v>
      </c>
      <c r="AE18" s="570">
        <f aca="true" t="shared" si="3" ref="AE18:AJ18">+AE16+AE15</f>
        <v>9056.90819482</v>
      </c>
      <c r="AF18" s="553">
        <f t="shared" si="3"/>
        <v>8958.122313900001</v>
      </c>
      <c r="AG18" s="561">
        <f t="shared" si="3"/>
        <v>9011.695831499997</v>
      </c>
      <c r="AH18" s="555">
        <f t="shared" si="3"/>
        <v>9061.70936352</v>
      </c>
      <c r="AI18" s="547">
        <f t="shared" si="3"/>
        <v>9195.944401359999</v>
      </c>
      <c r="AJ18" s="553">
        <f t="shared" si="3"/>
        <v>9230.04165418</v>
      </c>
      <c r="AK18" s="553">
        <f>+AK16+AK15</f>
        <v>9568.50752428</v>
      </c>
      <c r="AL18" s="494"/>
    </row>
    <row r="19" spans="2:39" s="27" customFormat="1" ht="15" customHeight="1">
      <c r="B19" s="565"/>
      <c r="C19" s="567"/>
      <c r="D19" s="567"/>
      <c r="E19" s="558"/>
      <c r="F19" s="567"/>
      <c r="G19" s="569"/>
      <c r="H19" s="569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6"/>
      <c r="T19" s="562"/>
      <c r="U19" s="571"/>
      <c r="V19" s="562"/>
      <c r="W19" s="548"/>
      <c r="X19" s="548"/>
      <c r="Y19" s="554"/>
      <c r="Z19" s="548"/>
      <c r="AA19" s="558"/>
      <c r="AB19" s="571"/>
      <c r="AC19" s="558"/>
      <c r="AD19" s="562"/>
      <c r="AE19" s="571"/>
      <c r="AF19" s="554"/>
      <c r="AG19" s="562"/>
      <c r="AH19" s="556"/>
      <c r="AI19" s="548"/>
      <c r="AJ19" s="554"/>
      <c r="AK19" s="554"/>
      <c r="AL19" s="494"/>
      <c r="AM19" s="462"/>
    </row>
    <row r="20" spans="2:7" ht="7.5" customHeight="1">
      <c r="B20" s="36"/>
      <c r="C20" s="37"/>
      <c r="D20" s="37"/>
      <c r="E20" s="37"/>
      <c r="F20" s="37"/>
      <c r="G20" s="37"/>
    </row>
    <row r="21" spans="2:22" ht="7.5" customHeight="1">
      <c r="B21" s="36"/>
      <c r="C21" s="37"/>
      <c r="D21" s="37"/>
      <c r="E21" s="37"/>
      <c r="F21" s="37"/>
      <c r="G21" s="37"/>
      <c r="T21" s="180"/>
      <c r="U21" s="180"/>
      <c r="V21" s="180"/>
    </row>
    <row r="22" spans="2:37" s="25" customFormat="1" ht="28.5" customHeight="1">
      <c r="B22" s="563"/>
      <c r="C22" s="563"/>
      <c r="D22" s="563"/>
      <c r="E22" s="563"/>
      <c r="F22" s="563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3"/>
      <c r="X22" s="203"/>
      <c r="Y22" s="203"/>
      <c r="Z22" s="188"/>
      <c r="AA22" s="188"/>
      <c r="AB22" s="188"/>
      <c r="AC22" s="203"/>
      <c r="AD22" s="505"/>
      <c r="AE22" s="203"/>
      <c r="AF22" s="203"/>
      <c r="AG22" s="203"/>
      <c r="AH22" s="203"/>
      <c r="AI22" s="203"/>
      <c r="AJ22" s="203"/>
      <c r="AK22" s="203"/>
    </row>
    <row r="23" spans="2:37" s="25" customFormat="1" ht="28.5" customHeight="1">
      <c r="B23" s="563"/>
      <c r="C23" s="563"/>
      <c r="D23" s="563"/>
      <c r="E23" s="563"/>
      <c r="F23" s="563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503"/>
      <c r="AD23" s="505"/>
      <c r="AF23" s="203"/>
      <c r="AG23" s="505"/>
      <c r="AK23" s="503"/>
    </row>
    <row r="24" spans="2:32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3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54"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AF18:AF19"/>
    <mergeCell ref="Z12:AK12"/>
    <mergeCell ref="AD18:AD19"/>
    <mergeCell ref="Z18:Z19"/>
    <mergeCell ref="T12:T13"/>
    <mergeCell ref="AE18:AE19"/>
    <mergeCell ref="X12:X13"/>
    <mergeCell ref="X18:X19"/>
    <mergeCell ref="V12:V13"/>
    <mergeCell ref="V18:V19"/>
    <mergeCell ref="AB18:AB19"/>
    <mergeCell ref="AJ18:AJ19"/>
    <mergeCell ref="AI18:AI19"/>
    <mergeCell ref="H18:H19"/>
    <mergeCell ref="I18:I19"/>
    <mergeCell ref="Q18:Q19"/>
    <mergeCell ref="R18:R19"/>
    <mergeCell ref="AC18:AC19"/>
    <mergeCell ref="T18:T19"/>
    <mergeCell ref="AH18:AH19"/>
    <mergeCell ref="B23:F23"/>
    <mergeCell ref="B18:B19"/>
    <mergeCell ref="C18:C19"/>
    <mergeCell ref="D18:D19"/>
    <mergeCell ref="E18:E19"/>
    <mergeCell ref="G18:G19"/>
    <mergeCell ref="B22:F22"/>
    <mergeCell ref="F18:F19"/>
    <mergeCell ref="AK18:AK19"/>
    <mergeCell ref="J18:J19"/>
    <mergeCell ref="S18:S19"/>
    <mergeCell ref="N18:N19"/>
    <mergeCell ref="S12:S13"/>
    <mergeCell ref="K18:K19"/>
    <mergeCell ref="AA18:AA19"/>
    <mergeCell ref="U12:U13"/>
    <mergeCell ref="M18:M19"/>
    <mergeCell ref="AG18:AG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4"/>
    </row>
    <row r="2" spans="2:14" s="1" customFormat="1" ht="13.5" customHeight="1">
      <c r="B2" s="579"/>
      <c r="C2" s="579"/>
      <c r="D2" s="579"/>
      <c r="E2" s="171"/>
      <c r="F2" s="354"/>
      <c r="G2" s="171"/>
      <c r="H2" s="171"/>
      <c r="I2" s="171"/>
      <c r="J2" s="171"/>
      <c r="M2" s="227"/>
      <c r="N2" s="227"/>
    </row>
    <row r="3" spans="2:14" s="1" customFormat="1" ht="13.5" customHeight="1">
      <c r="B3" s="579"/>
      <c r="C3" s="579"/>
      <c r="D3" s="579"/>
      <c r="E3" s="171"/>
      <c r="F3" s="354"/>
      <c r="G3" s="171"/>
      <c r="H3" s="171"/>
      <c r="I3" s="171"/>
      <c r="J3" s="171"/>
      <c r="M3" s="227"/>
      <c r="N3" s="227"/>
    </row>
    <row r="4" spans="2:14" s="1" customFormat="1" ht="18">
      <c r="B4" s="579"/>
      <c r="C4" s="579"/>
      <c r="D4" s="579"/>
      <c r="E4" s="171"/>
      <c r="F4" s="354"/>
      <c r="G4" s="171"/>
      <c r="H4" s="171"/>
      <c r="I4" s="171"/>
      <c r="J4" s="171"/>
      <c r="M4" s="227"/>
      <c r="N4" s="227"/>
    </row>
    <row r="5" spans="2:14" s="13" customFormat="1" ht="18">
      <c r="B5" s="129" t="s">
        <v>12</v>
      </c>
      <c r="C5" s="129"/>
      <c r="D5" s="129"/>
      <c r="E5" s="171"/>
      <c r="F5" s="354"/>
      <c r="H5" s="171"/>
      <c r="I5" s="279"/>
      <c r="J5" s="171"/>
      <c r="M5" s="228"/>
      <c r="N5" s="228"/>
    </row>
    <row r="6" spans="2:7" ht="18">
      <c r="B6" s="319" t="s">
        <v>136</v>
      </c>
      <c r="C6" s="319"/>
      <c r="D6" s="319"/>
      <c r="F6" s="354"/>
      <c r="G6" s="278"/>
    </row>
    <row r="7" spans="2:7" ht="18">
      <c r="B7" s="319" t="s">
        <v>135</v>
      </c>
      <c r="C7" s="319"/>
      <c r="D7" s="319"/>
      <c r="F7" s="354"/>
      <c r="G7" s="280"/>
    </row>
    <row r="8" spans="2:6" ht="15.75">
      <c r="B8" s="184" t="s">
        <v>153</v>
      </c>
      <c r="C8" s="184"/>
      <c r="D8" s="184"/>
      <c r="F8" s="354"/>
    </row>
    <row r="9" spans="2:14" s="3" customFormat="1" ht="15.75">
      <c r="B9" s="133" t="s">
        <v>259</v>
      </c>
      <c r="C9" s="268"/>
      <c r="D9" s="137"/>
      <c r="E9" s="318">
        <f>+Portada!H39</f>
        <v>3.998</v>
      </c>
      <c r="F9" s="141"/>
      <c r="G9" s="281"/>
      <c r="H9" s="282"/>
      <c r="I9" s="204"/>
      <c r="J9" s="204"/>
      <c r="M9" s="230"/>
      <c r="N9" s="230"/>
    </row>
    <row r="10" spans="2:6" ht="9.75" customHeight="1">
      <c r="B10" s="184"/>
      <c r="C10" s="184"/>
      <c r="D10" s="184"/>
      <c r="F10" s="354"/>
    </row>
    <row r="11" spans="2:12" ht="18.75" customHeight="1">
      <c r="B11" s="588" t="s">
        <v>156</v>
      </c>
      <c r="C11" s="584" t="s">
        <v>87</v>
      </c>
      <c r="D11" s="584" t="s">
        <v>164</v>
      </c>
      <c r="E11" s="320"/>
      <c r="F11" s="328"/>
      <c r="G11" s="320"/>
      <c r="H11" s="320"/>
      <c r="I11" s="320"/>
      <c r="J11" s="320"/>
      <c r="K11" s="321"/>
      <c r="L11" s="321"/>
    </row>
    <row r="12" spans="2:12" ht="18.75" customHeight="1">
      <c r="B12" s="589"/>
      <c r="C12" s="585"/>
      <c r="D12" s="585"/>
      <c r="E12" s="320"/>
      <c r="F12" s="328"/>
      <c r="G12" s="320"/>
      <c r="H12" s="320"/>
      <c r="I12" s="320"/>
      <c r="J12" s="320"/>
      <c r="K12" s="321"/>
      <c r="L12" s="321"/>
    </row>
    <row r="13" spans="2:14" s="16" customFormat="1" ht="9.75" customHeight="1">
      <c r="B13" s="254"/>
      <c r="C13" s="173"/>
      <c r="D13" s="174"/>
      <c r="E13" s="320"/>
      <c r="F13" s="355"/>
      <c r="G13" s="322"/>
      <c r="H13" s="322"/>
      <c r="I13" s="322"/>
      <c r="J13" s="320"/>
      <c r="K13" s="322"/>
      <c r="L13" s="322"/>
      <c r="M13" s="231"/>
      <c r="N13" s="231"/>
    </row>
    <row r="14" spans="2:14" s="13" customFormat="1" ht="19.5" customHeight="1">
      <c r="B14" s="67" t="s">
        <v>19</v>
      </c>
      <c r="C14" s="466">
        <f>SUM(C15:C16)</f>
        <v>1600213.79574</v>
      </c>
      <c r="D14" s="464">
        <f>SUM(D15:D16)</f>
        <v>6397654.75537</v>
      </c>
      <c r="E14" s="320"/>
      <c r="F14" s="496"/>
      <c r="G14" s="323"/>
      <c r="H14" s="323"/>
      <c r="I14" s="323"/>
      <c r="J14" s="320"/>
      <c r="K14" s="320"/>
      <c r="L14" s="320"/>
      <c r="M14" s="226"/>
      <c r="N14" s="226"/>
    </row>
    <row r="15" spans="2:14" s="13" customFormat="1" ht="16.5" customHeight="1">
      <c r="B15" s="68" t="s">
        <v>25</v>
      </c>
      <c r="C15" s="465">
        <v>1026352.20053</v>
      </c>
      <c r="D15" s="465">
        <f>ROUND(+C15*$E$9,5)</f>
        <v>4103356.09772</v>
      </c>
      <c r="E15" s="324"/>
      <c r="F15" s="461"/>
      <c r="G15" s="323"/>
      <c r="H15" s="323"/>
      <c r="I15" s="323"/>
      <c r="J15" s="320"/>
      <c r="K15" s="324"/>
      <c r="L15" s="325"/>
      <c r="M15" s="233"/>
      <c r="N15" s="226"/>
    </row>
    <row r="16" spans="2:14" s="13" customFormat="1" ht="16.5" customHeight="1">
      <c r="B16" s="68" t="s">
        <v>24</v>
      </c>
      <c r="C16" s="465">
        <v>573861.59521</v>
      </c>
      <c r="D16" s="465">
        <f>ROUND(+C16*$E$9,5)</f>
        <v>2294298.65765</v>
      </c>
      <c r="E16" s="324"/>
      <c r="F16" s="461"/>
      <c r="G16" s="323"/>
      <c r="H16" s="323"/>
      <c r="I16" s="323"/>
      <c r="J16" s="320"/>
      <c r="K16" s="320"/>
      <c r="L16" s="325"/>
      <c r="M16" s="233"/>
      <c r="N16" s="226"/>
    </row>
    <row r="17" spans="2:14" s="13" customFormat="1" ht="15" customHeight="1">
      <c r="B17" s="15"/>
      <c r="C17" s="467"/>
      <c r="D17" s="465"/>
      <c r="E17" s="320"/>
      <c r="F17" s="433"/>
      <c r="G17" s="323"/>
      <c r="H17" s="323"/>
      <c r="I17" s="323"/>
      <c r="J17" s="320"/>
      <c r="K17" s="324"/>
      <c r="L17" s="325"/>
      <c r="M17" s="233"/>
      <c r="N17" s="226"/>
    </row>
    <row r="18" spans="2:14" s="13" customFormat="1" ht="19.5" customHeight="1">
      <c r="B18" s="18" t="s">
        <v>20</v>
      </c>
      <c r="C18" s="466">
        <f>SUM(C19:C20)</f>
        <v>7117063.35374</v>
      </c>
      <c r="D18" s="464">
        <f>SUM(D19:D20)</f>
        <v>28454019.28825</v>
      </c>
      <c r="E18" s="320"/>
      <c r="F18" s="496"/>
      <c r="G18" s="323"/>
      <c r="H18" s="323"/>
      <c r="I18" s="323"/>
      <c r="J18" s="320"/>
      <c r="K18" s="320"/>
      <c r="L18" s="324"/>
      <c r="M18" s="226"/>
      <c r="N18" s="226"/>
    </row>
    <row r="19" spans="2:14" s="13" customFormat="1" ht="16.5" customHeight="1">
      <c r="B19" s="15" t="s">
        <v>25</v>
      </c>
      <c r="C19" s="465">
        <v>2817063.35374</v>
      </c>
      <c r="D19" s="465">
        <f>ROUND(+C19*$E$9,5)</f>
        <v>11262619.28825</v>
      </c>
      <c r="E19" s="320"/>
      <c r="F19" s="357"/>
      <c r="G19" s="323"/>
      <c r="H19" s="323"/>
      <c r="I19" s="323"/>
      <c r="J19" s="320"/>
      <c r="K19" s="324"/>
      <c r="L19" s="325"/>
      <c r="M19" s="233"/>
      <c r="N19" s="226"/>
    </row>
    <row r="20" spans="2:14" s="13" customFormat="1" ht="16.5" customHeight="1">
      <c r="B20" s="15" t="s">
        <v>111</v>
      </c>
      <c r="C20" s="465">
        <v>4300000</v>
      </c>
      <c r="D20" s="465">
        <f>ROUND(+C20*$E$9,5)</f>
        <v>17191400</v>
      </c>
      <c r="E20" s="320"/>
      <c r="F20" s="358"/>
      <c r="G20" s="323"/>
      <c r="H20" s="323"/>
      <c r="I20" s="323"/>
      <c r="J20" s="320"/>
      <c r="K20" s="324"/>
      <c r="L20" s="325"/>
      <c r="M20" s="233"/>
      <c r="N20" s="226"/>
    </row>
    <row r="21" spans="2:14" s="13" customFormat="1" ht="9.75" customHeight="1">
      <c r="B21" s="15"/>
      <c r="C21" s="467"/>
      <c r="D21" s="465"/>
      <c r="E21" s="320"/>
      <c r="F21" s="359"/>
      <c r="G21" s="323"/>
      <c r="H21" s="323"/>
      <c r="I21" s="323"/>
      <c r="J21" s="320"/>
      <c r="K21" s="324"/>
      <c r="L21" s="324"/>
      <c r="M21" s="226"/>
      <c r="N21" s="226"/>
    </row>
    <row r="22" spans="2:14" s="13" customFormat="1" ht="15" customHeight="1">
      <c r="B22" s="590" t="s">
        <v>61</v>
      </c>
      <c r="C22" s="586">
        <f>+C18+C14</f>
        <v>8717277.14948</v>
      </c>
      <c r="D22" s="586">
        <f>+D18+D14</f>
        <v>34851674.04362</v>
      </c>
      <c r="E22" s="320"/>
      <c r="F22" s="356"/>
      <c r="G22" s="323"/>
      <c r="H22" s="323"/>
      <c r="I22" s="323"/>
      <c r="J22" s="320"/>
      <c r="K22" s="320"/>
      <c r="L22" s="320"/>
      <c r="M22" s="226"/>
      <c r="N22" s="226"/>
    </row>
    <row r="23" spans="2:14" s="16" customFormat="1" ht="15" customHeight="1">
      <c r="B23" s="591"/>
      <c r="C23" s="587"/>
      <c r="D23" s="587"/>
      <c r="E23" s="320"/>
      <c r="F23" s="359"/>
      <c r="G23" s="323"/>
      <c r="H23" s="322"/>
      <c r="I23" s="322"/>
      <c r="J23" s="320"/>
      <c r="K23" s="320"/>
      <c r="L23" s="326"/>
      <c r="M23" s="234"/>
      <c r="N23" s="226"/>
    </row>
    <row r="24" spans="2:14" ht="14.25">
      <c r="B24" s="335"/>
      <c r="C24" s="460"/>
      <c r="D24" s="321"/>
      <c r="E24" s="320"/>
      <c r="F24" s="359"/>
      <c r="G24" s="323"/>
      <c r="H24" s="320"/>
      <c r="I24" s="320"/>
      <c r="J24" s="320"/>
      <c r="K24" s="327"/>
      <c r="L24" s="327"/>
      <c r="M24" s="226"/>
      <c r="N24" s="226"/>
    </row>
    <row r="25" spans="2:14" ht="14.25">
      <c r="B25" s="336"/>
      <c r="C25" s="205"/>
      <c r="D25" s="337"/>
      <c r="E25" s="328"/>
      <c r="F25" s="360"/>
      <c r="G25" s="323"/>
      <c r="H25" s="320"/>
      <c r="I25" s="320"/>
      <c r="J25" s="320"/>
      <c r="K25" s="320"/>
      <c r="L25" s="329"/>
      <c r="M25" s="226"/>
      <c r="N25" s="226"/>
    </row>
    <row r="26" spans="2:14" ht="14.25">
      <c r="B26" s="335"/>
      <c r="D26" s="338"/>
      <c r="E26" s="320"/>
      <c r="F26" s="360"/>
      <c r="G26" s="323"/>
      <c r="H26" s="320"/>
      <c r="I26" s="320"/>
      <c r="J26" s="320"/>
      <c r="K26" s="328"/>
      <c r="L26" s="324"/>
      <c r="M26" s="232"/>
      <c r="N26" s="226"/>
    </row>
    <row r="27" spans="2:14" ht="14.25">
      <c r="B27" s="321"/>
      <c r="D27" s="339"/>
      <c r="E27" s="320"/>
      <c r="F27" s="360"/>
      <c r="G27" s="323"/>
      <c r="H27" s="320"/>
      <c r="I27" s="320"/>
      <c r="J27" s="320"/>
      <c r="K27" s="320"/>
      <c r="L27" s="324"/>
      <c r="M27" s="226"/>
      <c r="N27" s="226"/>
    </row>
    <row r="28" spans="2:14" ht="14.25">
      <c r="B28" s="321"/>
      <c r="C28" s="340"/>
      <c r="D28" s="340"/>
      <c r="E28" s="320"/>
      <c r="F28" s="359"/>
      <c r="G28" s="323"/>
      <c r="H28" s="320"/>
      <c r="I28" s="320"/>
      <c r="J28" s="320"/>
      <c r="K28" s="320"/>
      <c r="L28" s="330"/>
      <c r="M28" s="229"/>
      <c r="N28" s="226"/>
    </row>
    <row r="29" spans="2:14" s="1" customFormat="1" ht="18">
      <c r="B29" s="129" t="s">
        <v>116</v>
      </c>
      <c r="C29" s="129"/>
      <c r="D29" s="129"/>
      <c r="E29" s="320"/>
      <c r="F29" s="359"/>
      <c r="G29" s="323"/>
      <c r="H29" s="331"/>
      <c r="I29" s="331"/>
      <c r="J29" s="320"/>
      <c r="K29" s="320"/>
      <c r="L29" s="320"/>
      <c r="M29" s="226"/>
      <c r="N29" s="226"/>
    </row>
    <row r="30" spans="2:14" s="1" customFormat="1" ht="18">
      <c r="B30" s="319" t="s">
        <v>136</v>
      </c>
      <c r="C30" s="319"/>
      <c r="D30" s="319"/>
      <c r="E30" s="320"/>
      <c r="F30" s="359"/>
      <c r="G30" s="323"/>
      <c r="H30" s="331"/>
      <c r="I30" s="331"/>
      <c r="J30" s="320"/>
      <c r="K30" s="320"/>
      <c r="L30" s="324"/>
      <c r="M30" s="232"/>
      <c r="N30" s="226"/>
    </row>
    <row r="31" spans="2:14" s="1" customFormat="1" ht="18">
      <c r="B31" s="319" t="s">
        <v>137</v>
      </c>
      <c r="C31" s="319"/>
      <c r="D31" s="319"/>
      <c r="E31" s="320"/>
      <c r="F31" s="359"/>
      <c r="G31" s="323"/>
      <c r="H31" s="331"/>
      <c r="I31" s="331"/>
      <c r="J31" s="320"/>
      <c r="K31" s="320"/>
      <c r="L31" s="320"/>
      <c r="M31" s="226"/>
      <c r="N31" s="226"/>
    </row>
    <row r="32" spans="2:14" s="1" customFormat="1" ht="18">
      <c r="B32" s="184" t="s">
        <v>153</v>
      </c>
      <c r="C32" s="184"/>
      <c r="D32" s="184"/>
      <c r="E32" s="320"/>
      <c r="F32" s="359"/>
      <c r="G32" s="323"/>
      <c r="H32" s="320"/>
      <c r="I32" s="320"/>
      <c r="J32" s="320"/>
      <c r="K32" s="320"/>
      <c r="L32" s="320"/>
      <c r="M32" s="226"/>
      <c r="N32" s="226"/>
    </row>
    <row r="33" spans="2:14" s="3" customFormat="1" ht="15.75">
      <c r="B33" s="255" t="str">
        <f>+B9</f>
        <v>Al 31 de diciembre de 2021</v>
      </c>
      <c r="C33" s="255"/>
      <c r="D33" s="137"/>
      <c r="E33" s="332"/>
      <c r="F33" s="359"/>
      <c r="G33" s="323"/>
      <c r="H33" s="333"/>
      <c r="I33" s="332"/>
      <c r="J33" s="332"/>
      <c r="K33" s="334"/>
      <c r="L33" s="334"/>
      <c r="M33" s="230"/>
      <c r="N33" s="230"/>
    </row>
    <row r="34" spans="2:14" s="3" customFormat="1" ht="9.75" customHeight="1">
      <c r="B34" s="14"/>
      <c r="C34" s="255"/>
      <c r="D34" s="12"/>
      <c r="E34" s="332"/>
      <c r="F34" s="359"/>
      <c r="G34" s="323"/>
      <c r="H34" s="332"/>
      <c r="I34" s="332"/>
      <c r="J34" s="332"/>
      <c r="K34" s="334"/>
      <c r="L34" s="334"/>
      <c r="M34" s="230"/>
      <c r="N34" s="230"/>
    </row>
    <row r="35" spans="2:12" ht="18.75" customHeight="1">
      <c r="B35" s="588" t="s">
        <v>156</v>
      </c>
      <c r="C35" s="584" t="s">
        <v>87</v>
      </c>
      <c r="D35" s="584" t="s">
        <v>164</v>
      </c>
      <c r="E35" s="320"/>
      <c r="F35" s="359"/>
      <c r="G35" s="323"/>
      <c r="H35" s="320"/>
      <c r="I35" s="320"/>
      <c r="J35" s="320"/>
      <c r="K35" s="321"/>
      <c r="L35" s="321"/>
    </row>
    <row r="36" spans="2:14" s="16" customFormat="1" ht="18.75" customHeight="1">
      <c r="B36" s="589"/>
      <c r="C36" s="585"/>
      <c r="D36" s="585"/>
      <c r="E36" s="320"/>
      <c r="F36" s="359"/>
      <c r="G36" s="323"/>
      <c r="H36" s="320"/>
      <c r="I36" s="320"/>
      <c r="J36" s="320"/>
      <c r="K36" s="322"/>
      <c r="L36" s="322"/>
      <c r="M36" s="231"/>
      <c r="N36" s="231"/>
    </row>
    <row r="37" spans="2:14" s="16" customFormat="1" ht="9.75" customHeight="1">
      <c r="B37" s="17"/>
      <c r="C37" s="259"/>
      <c r="D37" s="19"/>
      <c r="E37" s="320"/>
      <c r="F37" s="359"/>
      <c r="G37" s="323"/>
      <c r="H37" s="320"/>
      <c r="I37" s="320"/>
      <c r="J37" s="320"/>
      <c r="K37" s="322"/>
      <c r="L37" s="322"/>
      <c r="M37" s="231"/>
      <c r="N37" s="231"/>
    </row>
    <row r="38" spans="2:14" s="13" customFormat="1" ht="19.5" customHeight="1">
      <c r="B38" s="18" t="s">
        <v>147</v>
      </c>
      <c r="C38" s="466">
        <f>SUM(C39:C40)</f>
        <v>566230.3748</v>
      </c>
      <c r="D38" s="464">
        <f>SUM(D39:D40)</f>
        <v>2263789.0384504</v>
      </c>
      <c r="E38" s="320"/>
      <c r="F38" s="356"/>
      <c r="G38" s="323"/>
      <c r="H38" s="320"/>
      <c r="I38" s="320"/>
      <c r="J38" s="320"/>
      <c r="K38" s="323"/>
      <c r="L38" s="323"/>
      <c r="M38" s="228"/>
      <c r="N38" s="228"/>
    </row>
    <row r="39" spans="2:14" s="13" customFormat="1" ht="16.5" customHeight="1">
      <c r="B39" s="15" t="s">
        <v>25</v>
      </c>
      <c r="C39" s="467">
        <v>0</v>
      </c>
      <c r="D39" s="465">
        <f>+C39*$E$9</f>
        <v>0</v>
      </c>
      <c r="E39" s="320"/>
      <c r="F39" s="358"/>
      <c r="G39" s="323"/>
      <c r="H39" s="320"/>
      <c r="I39" s="320"/>
      <c r="J39" s="320"/>
      <c r="K39" s="323"/>
      <c r="L39" s="323"/>
      <c r="M39" s="228"/>
      <c r="N39" s="228"/>
    </row>
    <row r="40" spans="2:14" s="13" customFormat="1" ht="16.5" customHeight="1">
      <c r="B40" s="15" t="s">
        <v>24</v>
      </c>
      <c r="C40" s="467">
        <v>566230.3748</v>
      </c>
      <c r="D40" s="465">
        <f>+C40*$E$9</f>
        <v>2263789.0384504</v>
      </c>
      <c r="E40" s="320"/>
      <c r="F40" s="359"/>
      <c r="G40" s="323"/>
      <c r="H40" s="320"/>
      <c r="I40" s="320"/>
      <c r="J40" s="320"/>
      <c r="K40" s="323"/>
      <c r="L40" s="323"/>
      <c r="M40" s="228"/>
      <c r="N40" s="228"/>
    </row>
    <row r="41" spans="2:14" s="13" customFormat="1" ht="15" customHeight="1">
      <c r="B41" s="15"/>
      <c r="C41" s="467"/>
      <c r="D41" s="465"/>
      <c r="E41" s="320"/>
      <c r="F41" s="359"/>
      <c r="G41" s="323"/>
      <c r="H41" s="320"/>
      <c r="I41" s="320"/>
      <c r="J41" s="320"/>
      <c r="K41" s="323"/>
      <c r="L41" s="323"/>
      <c r="M41" s="228"/>
      <c r="N41" s="228"/>
    </row>
    <row r="42" spans="2:14" s="13" customFormat="1" ht="19.5" customHeight="1">
      <c r="B42" s="18" t="s">
        <v>148</v>
      </c>
      <c r="C42" s="466">
        <f>SUM(C43:C44)</f>
        <v>285000</v>
      </c>
      <c r="D42" s="464">
        <f>SUM(D43:D44)</f>
        <v>1139430</v>
      </c>
      <c r="E42" s="320"/>
      <c r="F42" s="356"/>
      <c r="G42" s="323"/>
      <c r="H42" s="320"/>
      <c r="I42" s="320"/>
      <c r="J42" s="320"/>
      <c r="K42" s="323"/>
      <c r="L42" s="323"/>
      <c r="M42" s="228"/>
      <c r="N42" s="228"/>
    </row>
    <row r="43" spans="2:14" s="13" customFormat="1" ht="16.5" customHeight="1">
      <c r="B43" s="15" t="s">
        <v>25</v>
      </c>
      <c r="C43" s="467">
        <v>0</v>
      </c>
      <c r="D43" s="465">
        <f>+C43*$E$9</f>
        <v>0</v>
      </c>
      <c r="E43" s="320"/>
      <c r="F43" s="358"/>
      <c r="G43" s="323"/>
      <c r="H43" s="320"/>
      <c r="I43" s="320"/>
      <c r="J43" s="320"/>
      <c r="K43" s="323"/>
      <c r="L43" s="323"/>
      <c r="M43" s="228"/>
      <c r="N43" s="228"/>
    </row>
    <row r="44" spans="2:14" s="13" customFormat="1" ht="16.5" customHeight="1">
      <c r="B44" s="15" t="s">
        <v>24</v>
      </c>
      <c r="C44" s="467">
        <v>285000</v>
      </c>
      <c r="D44" s="465">
        <f>+C44*$E$9</f>
        <v>1139430</v>
      </c>
      <c r="E44" s="320"/>
      <c r="F44" s="358"/>
      <c r="G44" s="323"/>
      <c r="H44" s="320"/>
      <c r="I44" s="320"/>
      <c r="J44" s="320"/>
      <c r="K44" s="323"/>
      <c r="L44" s="323"/>
      <c r="M44" s="228"/>
      <c r="N44" s="228"/>
    </row>
    <row r="45" spans="2:14" s="13" customFormat="1" ht="7.5" customHeight="1">
      <c r="B45" s="15"/>
      <c r="C45" s="467"/>
      <c r="D45" s="465"/>
      <c r="E45" s="320"/>
      <c r="F45" s="323"/>
      <c r="G45" s="323"/>
      <c r="H45" s="320"/>
      <c r="I45" s="320"/>
      <c r="J45" s="320"/>
      <c r="K45" s="323"/>
      <c r="L45" s="323"/>
      <c r="M45" s="228"/>
      <c r="N45" s="228"/>
    </row>
    <row r="46" spans="2:14" s="13" customFormat="1" ht="15" customHeight="1">
      <c r="B46" s="590" t="s">
        <v>61</v>
      </c>
      <c r="C46" s="586">
        <f>+C42+C38</f>
        <v>851230.3748</v>
      </c>
      <c r="D46" s="586">
        <f>+D42+D38</f>
        <v>3403219.0384504</v>
      </c>
      <c r="E46" s="320"/>
      <c r="F46" s="323"/>
      <c r="G46" s="323"/>
      <c r="H46" s="320"/>
      <c r="I46" s="320"/>
      <c r="J46" s="320"/>
      <c r="K46" s="323"/>
      <c r="L46" s="323"/>
      <c r="M46" s="228"/>
      <c r="N46" s="228"/>
    </row>
    <row r="47" spans="2:14" s="16" customFormat="1" ht="15" customHeight="1">
      <c r="B47" s="591"/>
      <c r="C47" s="587"/>
      <c r="D47" s="587"/>
      <c r="E47" s="320"/>
      <c r="F47" s="349"/>
      <c r="G47" s="323"/>
      <c r="H47" s="320"/>
      <c r="I47" s="320"/>
      <c r="J47" s="320"/>
      <c r="K47" s="322"/>
      <c r="L47" s="322"/>
      <c r="M47" s="231"/>
      <c r="N47" s="231"/>
    </row>
    <row r="48" spans="2:12" ht="16.5" customHeight="1">
      <c r="B48" s="28" t="s">
        <v>139</v>
      </c>
      <c r="C48" s="515"/>
      <c r="D48" s="205"/>
      <c r="E48" s="320"/>
      <c r="F48" s="323"/>
      <c r="G48" s="323"/>
      <c r="H48" s="320"/>
      <c r="I48" s="320"/>
      <c r="J48" s="320"/>
      <c r="K48" s="321"/>
      <c r="L48" s="321"/>
    </row>
    <row r="49" spans="2:12" ht="12.75">
      <c r="B49" s="2" t="s">
        <v>140</v>
      </c>
      <c r="C49" s="205"/>
      <c r="D49" s="205"/>
      <c r="E49" s="320"/>
      <c r="F49" s="320"/>
      <c r="G49" s="320"/>
      <c r="H49" s="320"/>
      <c r="I49" s="320"/>
      <c r="J49" s="320"/>
      <c r="K49" s="321"/>
      <c r="L49" s="321"/>
    </row>
    <row r="50" spans="2:12" ht="12.75">
      <c r="B50" s="321"/>
      <c r="C50" s="497"/>
      <c r="D50" s="341"/>
      <c r="E50" s="320"/>
      <c r="F50" s="320"/>
      <c r="G50" s="320"/>
      <c r="H50" s="320"/>
      <c r="I50" s="320"/>
      <c r="J50" s="320"/>
      <c r="K50" s="321"/>
      <c r="L50" s="321"/>
    </row>
    <row r="51" spans="2:12" ht="12.75">
      <c r="B51" s="321"/>
      <c r="C51" s="341"/>
      <c r="D51" s="436"/>
      <c r="E51" s="320"/>
      <c r="F51" s="320"/>
      <c r="G51" s="320"/>
      <c r="H51" s="320"/>
      <c r="I51" s="320"/>
      <c r="J51" s="320"/>
      <c r="K51" s="321"/>
      <c r="L51" s="321"/>
    </row>
    <row r="52" spans="2:4" ht="12.75">
      <c r="B52" s="321"/>
      <c r="C52" s="500"/>
      <c r="D52" s="321"/>
    </row>
    <row r="53" spans="2:4" ht="12.75">
      <c r="B53" s="321"/>
      <c r="C53" s="341"/>
      <c r="D53" s="341"/>
    </row>
    <row r="54" spans="2:4" ht="12.75">
      <c r="B54" s="321"/>
      <c r="C54" s="341"/>
      <c r="D54" s="341"/>
    </row>
    <row r="55" spans="2:4" ht="12.75">
      <c r="B55" s="321"/>
      <c r="C55" s="341"/>
      <c r="D55" s="341"/>
    </row>
    <row r="56" spans="2:4" ht="12.75">
      <c r="B56" s="321"/>
      <c r="C56" s="433"/>
      <c r="D56" s="433"/>
    </row>
    <row r="57" spans="2:4" ht="12.75">
      <c r="B57" s="321"/>
      <c r="C57" s="341"/>
      <c r="D57" s="341"/>
    </row>
    <row r="58" spans="2:4" ht="12.75">
      <c r="B58" s="321"/>
      <c r="C58" s="341"/>
      <c r="D58" s="341"/>
    </row>
    <row r="59" spans="2:4" ht="12.75">
      <c r="B59" s="321"/>
      <c r="C59" s="341"/>
      <c r="D59" s="321"/>
    </row>
    <row r="60" spans="2:4" ht="12.75">
      <c r="B60" s="321"/>
      <c r="C60" s="342"/>
      <c r="D60" s="321"/>
    </row>
  </sheetData>
  <sheetProtection/>
  <mergeCells count="15">
    <mergeCell ref="B46:B47"/>
    <mergeCell ref="C46:C47"/>
    <mergeCell ref="D46:D47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19" t="s">
        <v>136</v>
      </c>
      <c r="C6" s="319"/>
      <c r="D6" s="319"/>
      <c r="M6" s="190"/>
    </row>
    <row r="7" spans="2:13" s="136" customFormat="1" ht="18">
      <c r="B7" s="319" t="s">
        <v>135</v>
      </c>
      <c r="C7" s="319"/>
      <c r="D7" s="319"/>
      <c r="M7" s="190"/>
    </row>
    <row r="8" spans="2:13" s="136" customFormat="1" ht="18">
      <c r="B8" s="343" t="s">
        <v>37</v>
      </c>
      <c r="C8" s="184"/>
      <c r="D8" s="184"/>
      <c r="M8" s="190"/>
    </row>
    <row r="9" spans="2:13" s="136" customFormat="1" ht="18">
      <c r="B9" s="596" t="str">
        <f>+'DEP-C2'!B9</f>
        <v>Al 31 de diciembre de 2021</v>
      </c>
      <c r="C9" s="596"/>
      <c r="D9" s="266"/>
      <c r="E9" s="318">
        <f>+Portada!H39</f>
        <v>3.998</v>
      </c>
      <c r="M9" s="190"/>
    </row>
    <row r="10" spans="2:13" s="65" customFormat="1" ht="9.75" customHeight="1">
      <c r="B10" s="599"/>
      <c r="C10" s="599"/>
      <c r="D10" s="599"/>
      <c r="E10" s="283"/>
      <c r="M10" s="165"/>
    </row>
    <row r="11" spans="2:4" ht="16.5" customHeight="1">
      <c r="B11" s="600" t="s">
        <v>94</v>
      </c>
      <c r="C11" s="594" t="s">
        <v>87</v>
      </c>
      <c r="D11" s="584" t="s">
        <v>164</v>
      </c>
    </row>
    <row r="12" spans="2:13" s="81" customFormat="1" ht="16.5" customHeight="1">
      <c r="B12" s="601"/>
      <c r="C12" s="595"/>
      <c r="D12" s="585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64</v>
      </c>
      <c r="C14" s="468">
        <f>SUM(C15:C16)</f>
        <v>1588636.16271</v>
      </c>
      <c r="D14" s="383">
        <f>SUM(D15:D16)</f>
        <v>6351367.37852</v>
      </c>
      <c r="M14" s="166"/>
    </row>
    <row r="15" spans="2:13" s="81" customFormat="1" ht="16.5">
      <c r="B15" s="80" t="s">
        <v>25</v>
      </c>
      <c r="C15" s="469">
        <v>1372518.3758</v>
      </c>
      <c r="D15" s="389">
        <f>ROUND(+C15*$E$9,5)</f>
        <v>5487328.46645</v>
      </c>
      <c r="E15" s="284"/>
      <c r="F15" s="433"/>
      <c r="G15" s="285"/>
      <c r="M15" s="166"/>
    </row>
    <row r="16" spans="2:13" s="81" customFormat="1" ht="16.5">
      <c r="B16" s="80" t="s">
        <v>24</v>
      </c>
      <c r="C16" s="469">
        <v>216117.78691</v>
      </c>
      <c r="D16" s="389">
        <f>ROUND(+C16*$E$9,5)</f>
        <v>864038.91207</v>
      </c>
      <c r="E16" s="284"/>
      <c r="F16" s="433"/>
      <c r="M16" s="166"/>
    </row>
    <row r="17" spans="2:13" s="81" customFormat="1" ht="15" customHeight="1">
      <c r="B17" s="64"/>
      <c r="C17" s="470"/>
      <c r="D17" s="382"/>
      <c r="M17" s="166"/>
    </row>
    <row r="18" spans="2:13" s="81" customFormat="1" ht="16.5">
      <c r="B18" s="163" t="s">
        <v>63</v>
      </c>
      <c r="C18" s="468">
        <f>SUM(C19:C20)</f>
        <v>7128640.98677</v>
      </c>
      <c r="D18" s="468">
        <f>SUM(D19:D20)</f>
        <v>28500306.6651</v>
      </c>
      <c r="E18" s="284"/>
      <c r="M18" s="166"/>
    </row>
    <row r="19" spans="2:13" s="81" customFormat="1" ht="16.5">
      <c r="B19" s="80" t="s">
        <v>25</v>
      </c>
      <c r="C19" s="469">
        <f>+C23+C27+C31</f>
        <v>2470897.17847</v>
      </c>
      <c r="D19" s="469">
        <f>+D23+D27+D31</f>
        <v>9878646.919520002</v>
      </c>
      <c r="M19" s="166"/>
    </row>
    <row r="20" spans="2:13" s="81" customFormat="1" ht="16.5">
      <c r="B20" s="80" t="s">
        <v>24</v>
      </c>
      <c r="C20" s="469">
        <f>+C24+C28+C32</f>
        <v>4657743.8083</v>
      </c>
      <c r="D20" s="469">
        <f>+D24+D28+D32</f>
        <v>18621659.74558</v>
      </c>
      <c r="M20" s="166"/>
    </row>
    <row r="21" spans="2:13" s="81" customFormat="1" ht="9.75" customHeight="1">
      <c r="B21" s="82"/>
      <c r="C21" s="469"/>
      <c r="D21" s="389"/>
      <c r="M21" s="166"/>
    </row>
    <row r="22" spans="2:13" s="81" customFormat="1" ht="16.5">
      <c r="B22" s="345" t="s">
        <v>176</v>
      </c>
      <c r="C22" s="471">
        <f>SUM(C23:C24)</f>
        <v>6698366.3630099995</v>
      </c>
      <c r="D22" s="381">
        <f>SUM(D23:D24)</f>
        <v>26780068.71931</v>
      </c>
      <c r="G22" s="284"/>
      <c r="I22" s="286"/>
      <c r="M22" s="166"/>
    </row>
    <row r="23" spans="2:13" s="81" customFormat="1" ht="16.5">
      <c r="B23" s="346" t="s">
        <v>25</v>
      </c>
      <c r="C23" s="470">
        <v>2146971.80387</v>
      </c>
      <c r="D23" s="382">
        <f>ROUND(+C23*$E$9,5)</f>
        <v>8583593.27187</v>
      </c>
      <c r="G23" s="284"/>
      <c r="I23" s="286"/>
      <c r="M23" s="166"/>
    </row>
    <row r="24" spans="2:13" s="81" customFormat="1" ht="16.5">
      <c r="B24" s="346" t="s">
        <v>24</v>
      </c>
      <c r="C24" s="470">
        <v>4551394.55914</v>
      </c>
      <c r="D24" s="382">
        <f>ROUND(+C24*$E$9,5)</f>
        <v>18196475.44744</v>
      </c>
      <c r="M24" s="166"/>
    </row>
    <row r="25" spans="2:13" s="81" customFormat="1" ht="9.75" customHeight="1">
      <c r="B25" s="82"/>
      <c r="C25" s="469"/>
      <c r="D25" s="389"/>
      <c r="M25" s="166"/>
    </row>
    <row r="26" spans="2:13" s="81" customFormat="1" ht="16.5">
      <c r="B26" s="345" t="s">
        <v>177</v>
      </c>
      <c r="C26" s="471">
        <f>SUM(C27:C28)</f>
        <v>193114.47075</v>
      </c>
      <c r="D26" s="381">
        <f>SUM(D27:D28)</f>
        <v>772071.65406</v>
      </c>
      <c r="G26" s="287"/>
      <c r="M26" s="166"/>
    </row>
    <row r="27" spans="2:13" s="81" customFormat="1" ht="16.5">
      <c r="B27" s="346" t="s">
        <v>25</v>
      </c>
      <c r="C27" s="470">
        <v>95645.40119</v>
      </c>
      <c r="D27" s="382">
        <f>ROUND(+C27*$E$9,5)</f>
        <v>382390.31396</v>
      </c>
      <c r="M27" s="166"/>
    </row>
    <row r="28" spans="2:13" s="81" customFormat="1" ht="16.5">
      <c r="B28" s="346" t="s">
        <v>24</v>
      </c>
      <c r="C28" s="470">
        <v>97469.06956</v>
      </c>
      <c r="D28" s="382">
        <f>ROUND(+C28*$E$9,5)</f>
        <v>389681.3401</v>
      </c>
      <c r="M28" s="166"/>
    </row>
    <row r="29" spans="2:13" s="81" customFormat="1" ht="9.75" customHeight="1">
      <c r="B29" s="82"/>
      <c r="C29" s="382"/>
      <c r="D29" s="389"/>
      <c r="M29" s="166"/>
    </row>
    <row r="30" spans="2:13" s="81" customFormat="1" ht="16.5">
      <c r="B30" s="347" t="s">
        <v>178</v>
      </c>
      <c r="C30" s="471">
        <f>+SUM(C31:C32)</f>
        <v>237160.15301</v>
      </c>
      <c r="D30" s="381">
        <f>SUM(D31:D32)</f>
        <v>948166.2917299999</v>
      </c>
      <c r="M30" s="166"/>
    </row>
    <row r="31" spans="2:13" s="81" customFormat="1" ht="16.5">
      <c r="B31" s="346" t="s">
        <v>25</v>
      </c>
      <c r="C31" s="470">
        <v>228279.97341</v>
      </c>
      <c r="D31" s="382">
        <f>ROUND(+C31*$E$9,5)</f>
        <v>912663.33369</v>
      </c>
      <c r="M31" s="166"/>
    </row>
    <row r="32" spans="2:13" s="81" customFormat="1" ht="16.5">
      <c r="B32" s="346" t="s">
        <v>24</v>
      </c>
      <c r="C32" s="470">
        <v>8880.1796</v>
      </c>
      <c r="D32" s="382">
        <f>ROUND(+C32*$E$9,5)</f>
        <v>35502.95804</v>
      </c>
      <c r="M32" s="166"/>
    </row>
    <row r="33" spans="2:13" s="81" customFormat="1" ht="9.75" customHeight="1">
      <c r="B33" s="194"/>
      <c r="C33" s="470"/>
      <c r="D33" s="382"/>
      <c r="M33" s="166"/>
    </row>
    <row r="34" spans="2:13" s="81" customFormat="1" ht="15" customHeight="1">
      <c r="B34" s="597" t="s">
        <v>61</v>
      </c>
      <c r="C34" s="592">
        <f>+C18+C14</f>
        <v>8717277.14948</v>
      </c>
      <c r="D34" s="592">
        <f>+D18+D14</f>
        <v>34851674.04362</v>
      </c>
      <c r="M34" s="166"/>
    </row>
    <row r="35" spans="2:13" s="81" customFormat="1" ht="15" customHeight="1">
      <c r="B35" s="598"/>
      <c r="C35" s="593"/>
      <c r="D35" s="593"/>
      <c r="M35" s="166"/>
    </row>
    <row r="36" spans="3:6" ht="16.5">
      <c r="C36" s="193"/>
      <c r="F36" s="81"/>
    </row>
    <row r="37" spans="3:6" ht="16.5">
      <c r="C37" s="193"/>
      <c r="D37" s="102"/>
      <c r="F37" s="81"/>
    </row>
    <row r="38" spans="3:6" ht="16.5">
      <c r="C38" s="193"/>
      <c r="D38" s="193"/>
      <c r="F38" s="81"/>
    </row>
    <row r="40" spans="2:13" s="136" customFormat="1" ht="18">
      <c r="B40" s="129" t="s">
        <v>117</v>
      </c>
      <c r="C40" s="129"/>
      <c r="D40" s="129"/>
      <c r="M40" s="190"/>
    </row>
    <row r="41" spans="2:13" s="136" customFormat="1" ht="18">
      <c r="B41" s="319" t="s">
        <v>136</v>
      </c>
      <c r="C41" s="319"/>
      <c r="D41" s="319"/>
      <c r="M41" s="190"/>
    </row>
    <row r="42" spans="2:13" s="136" customFormat="1" ht="18">
      <c r="B42" s="319" t="s">
        <v>137</v>
      </c>
      <c r="C42" s="319"/>
      <c r="D42" s="319"/>
      <c r="M42" s="190"/>
    </row>
    <row r="43" spans="2:13" s="136" customFormat="1" ht="18">
      <c r="B43" s="343" t="s">
        <v>37</v>
      </c>
      <c r="C43" s="184"/>
      <c r="D43" s="184"/>
      <c r="M43" s="190"/>
    </row>
    <row r="44" spans="2:13" s="136" customFormat="1" ht="18">
      <c r="B44" s="596" t="str">
        <f>+B9</f>
        <v>Al 31 de diciembre de 2021</v>
      </c>
      <c r="C44" s="596"/>
      <c r="D44" s="253"/>
      <c r="M44" s="190"/>
    </row>
    <row r="45" spans="2:13" s="65" customFormat="1" ht="9.75" customHeight="1">
      <c r="B45" s="599"/>
      <c r="C45" s="599"/>
      <c r="D45" s="599"/>
      <c r="M45" s="165"/>
    </row>
    <row r="46" spans="2:4" ht="16.5" customHeight="1">
      <c r="B46" s="600" t="s">
        <v>94</v>
      </c>
      <c r="C46" s="594" t="s">
        <v>87</v>
      </c>
      <c r="D46" s="584" t="s">
        <v>164</v>
      </c>
    </row>
    <row r="47" spans="2:13" s="81" customFormat="1" ht="16.5" customHeight="1">
      <c r="B47" s="601"/>
      <c r="C47" s="595"/>
      <c r="D47" s="585"/>
      <c r="M47" s="166"/>
    </row>
    <row r="48" spans="2:13" s="81" customFormat="1" ht="9.75" customHeight="1">
      <c r="B48" s="64"/>
      <c r="C48" s="161"/>
      <c r="D48" s="195"/>
      <c r="M48" s="166"/>
    </row>
    <row r="49" spans="2:13" s="81" customFormat="1" ht="16.5">
      <c r="B49" s="163" t="s">
        <v>64</v>
      </c>
      <c r="C49" s="468">
        <f>SUM(C50:C51)</f>
        <v>251751.6274</v>
      </c>
      <c r="D49" s="383">
        <f>SUM(D50:D51)</f>
        <v>1006503.00635</v>
      </c>
      <c r="F49" s="349"/>
      <c r="M49" s="166"/>
    </row>
    <row r="50" spans="2:13" s="81" customFormat="1" ht="16.5">
      <c r="B50" s="80" t="s">
        <v>24</v>
      </c>
      <c r="C50" s="469">
        <v>251751.6274</v>
      </c>
      <c r="D50" s="389">
        <f>ROUND(+C50*$E$9,5)</f>
        <v>1006503.00635</v>
      </c>
      <c r="F50" s="348"/>
      <c r="M50" s="166"/>
    </row>
    <row r="51" spans="2:13" s="81" customFormat="1" ht="21.75" customHeight="1" hidden="1">
      <c r="B51" s="82" t="s">
        <v>65</v>
      </c>
      <c r="C51" s="469">
        <v>0</v>
      </c>
      <c r="D51" s="389">
        <f>+C51*$E$9</f>
        <v>0</v>
      </c>
      <c r="M51" s="166"/>
    </row>
    <row r="52" spans="2:13" s="81" customFormat="1" ht="15" customHeight="1">
      <c r="B52" s="64"/>
      <c r="C52" s="470"/>
      <c r="D52" s="382"/>
      <c r="M52" s="166"/>
    </row>
    <row r="53" spans="2:13" s="81" customFormat="1" ht="16.5">
      <c r="B53" s="163" t="s">
        <v>63</v>
      </c>
      <c r="C53" s="468">
        <f>SUM(C54:C55)</f>
        <v>599478.7474</v>
      </c>
      <c r="D53" s="468">
        <f>SUM(D54:D55)</f>
        <v>2396716.03211</v>
      </c>
      <c r="F53" s="349"/>
      <c r="M53" s="166"/>
    </row>
    <row r="54" spans="2:13" s="81" customFormat="1" ht="16.5">
      <c r="B54" s="80" t="s">
        <v>25</v>
      </c>
      <c r="C54" s="469">
        <f>+C58</f>
        <v>0</v>
      </c>
      <c r="D54" s="389">
        <f>+D58</f>
        <v>0</v>
      </c>
      <c r="F54" s="349"/>
      <c r="M54" s="166"/>
    </row>
    <row r="55" spans="2:13" s="81" customFormat="1" ht="16.5">
      <c r="B55" s="80" t="s">
        <v>24</v>
      </c>
      <c r="C55" s="469">
        <f>+C59</f>
        <v>599478.7474</v>
      </c>
      <c r="D55" s="389">
        <f>+D59</f>
        <v>2396716.03211</v>
      </c>
      <c r="F55" s="348"/>
      <c r="M55" s="166"/>
    </row>
    <row r="56" spans="2:13" s="81" customFormat="1" ht="9.75" customHeight="1">
      <c r="B56" s="82"/>
      <c r="C56" s="469"/>
      <c r="D56" s="389"/>
      <c r="M56" s="166"/>
    </row>
    <row r="57" spans="2:13" s="81" customFormat="1" ht="16.5">
      <c r="B57" s="345" t="s">
        <v>176</v>
      </c>
      <c r="C57" s="471">
        <f>SUM(C58:C59)</f>
        <v>599478.7474</v>
      </c>
      <c r="D57" s="471">
        <f>SUM(D58:D59)</f>
        <v>2396716.03211</v>
      </c>
      <c r="F57" s="349"/>
      <c r="M57" s="166"/>
    </row>
    <row r="58" spans="2:13" s="81" customFormat="1" ht="16.5" customHeight="1">
      <c r="B58" s="346" t="s">
        <v>25</v>
      </c>
      <c r="C58" s="470">
        <v>0</v>
      </c>
      <c r="D58" s="382">
        <f>ROUND(+C58*$E$9,5)</f>
        <v>0</v>
      </c>
      <c r="F58" s="348"/>
      <c r="M58" s="166"/>
    </row>
    <row r="59" spans="2:13" s="81" customFormat="1" ht="16.5" customHeight="1">
      <c r="B59" s="346" t="s">
        <v>24</v>
      </c>
      <c r="C59" s="470">
        <v>599478.7474</v>
      </c>
      <c r="D59" s="382">
        <f>ROUND(+C59*$E$9,5)</f>
        <v>2396716.03211</v>
      </c>
      <c r="F59" s="206"/>
      <c r="M59" s="166"/>
    </row>
    <row r="60" spans="2:13" s="81" customFormat="1" ht="9.75" customHeight="1">
      <c r="B60" s="194"/>
      <c r="C60" s="470"/>
      <c r="D60" s="382"/>
      <c r="M60" s="166"/>
    </row>
    <row r="61" spans="2:13" s="81" customFormat="1" ht="15" customHeight="1">
      <c r="B61" s="597" t="s">
        <v>61</v>
      </c>
      <c r="C61" s="592">
        <f>+C53+C49</f>
        <v>851230.3748</v>
      </c>
      <c r="D61" s="592">
        <f>+D53+D49</f>
        <v>3403219.03846</v>
      </c>
      <c r="M61" s="166"/>
    </row>
    <row r="62" spans="2:13" s="81" customFormat="1" ht="15" customHeight="1">
      <c r="B62" s="598"/>
      <c r="C62" s="593"/>
      <c r="D62" s="593"/>
      <c r="F62" s="349"/>
      <c r="M62" s="166"/>
    </row>
    <row r="63" ht="12.75">
      <c r="C63" s="515"/>
    </row>
    <row r="64" spans="3:6" ht="12.75">
      <c r="C64" s="193"/>
      <c r="D64" s="131"/>
      <c r="F64" s="350"/>
    </row>
    <row r="65" ht="12.75">
      <c r="C65" s="192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19" t="s">
        <v>136</v>
      </c>
      <c r="C6" s="319"/>
      <c r="D6" s="319"/>
      <c r="K6" s="132"/>
    </row>
    <row r="7" spans="2:11" ht="18">
      <c r="B7" s="319" t="s">
        <v>135</v>
      </c>
      <c r="C7" s="319"/>
      <c r="D7" s="319"/>
      <c r="K7" s="132"/>
    </row>
    <row r="8" spans="2:11" ht="16.5">
      <c r="B8" s="343" t="s">
        <v>32</v>
      </c>
      <c r="C8" s="184"/>
      <c r="D8" s="184"/>
      <c r="K8" s="132"/>
    </row>
    <row r="9" spans="2:11" s="136" customFormat="1" ht="18">
      <c r="B9" s="133" t="str">
        <f>+'DEP-C2'!B9</f>
        <v>Al 31 de diciembre de 2021</v>
      </c>
      <c r="C9" s="133"/>
      <c r="D9" s="266"/>
      <c r="E9" s="318">
        <f>+Portada!H39</f>
        <v>3.998</v>
      </c>
      <c r="K9" s="190"/>
    </row>
    <row r="10" spans="2:11" ht="9.75" customHeight="1">
      <c r="B10" s="602"/>
      <c r="C10" s="602"/>
      <c r="D10" s="602"/>
      <c r="K10" s="132"/>
    </row>
    <row r="11" spans="2:11" ht="16.5" customHeight="1">
      <c r="B11" s="600" t="s">
        <v>95</v>
      </c>
      <c r="C11" s="594" t="s">
        <v>87</v>
      </c>
      <c r="D11" s="584" t="s">
        <v>214</v>
      </c>
      <c r="K11" s="132"/>
    </row>
    <row r="12" spans="2:11" ht="16.5" customHeight="1">
      <c r="B12" s="601"/>
      <c r="C12" s="595"/>
      <c r="D12" s="585"/>
      <c r="F12" s="65"/>
      <c r="G12" s="65"/>
      <c r="H12" s="207"/>
      <c r="I12" s="207"/>
      <c r="K12" s="132"/>
    </row>
    <row r="13" spans="2:11" s="81" customFormat="1" ht="9.75" customHeight="1">
      <c r="B13" s="256"/>
      <c r="C13" s="104"/>
      <c r="D13" s="104"/>
      <c r="F13" s="65"/>
      <c r="G13" s="65"/>
      <c r="H13" s="207"/>
      <c r="I13" s="207"/>
      <c r="K13" s="166"/>
    </row>
    <row r="14" spans="2:11" s="65" customFormat="1" ht="16.5" customHeight="1">
      <c r="B14" s="351" t="s">
        <v>89</v>
      </c>
      <c r="C14" s="381">
        <f>+C16+C20</f>
        <v>4873861.59521</v>
      </c>
      <c r="D14" s="381">
        <f>+D16+D20</f>
        <v>19485698.65765</v>
      </c>
      <c r="E14" s="215"/>
      <c r="F14" s="349"/>
      <c r="H14" s="207"/>
      <c r="I14" s="207"/>
      <c r="K14" s="165"/>
    </row>
    <row r="15" spans="2:11" s="65" customFormat="1" ht="9.75" customHeight="1">
      <c r="B15" s="63"/>
      <c r="C15" s="472"/>
      <c r="D15" s="472"/>
      <c r="K15" s="165"/>
    </row>
    <row r="16" spans="2:11" s="65" customFormat="1" ht="16.5" customHeight="1">
      <c r="B16" s="352" t="s">
        <v>33</v>
      </c>
      <c r="C16" s="381">
        <f>SUM(C17:C18)</f>
        <v>4300000</v>
      </c>
      <c r="D16" s="381">
        <f>SUM(D17:D18)</f>
        <v>17191400</v>
      </c>
      <c r="E16" s="512"/>
      <c r="F16" s="463"/>
      <c r="H16" s="208"/>
      <c r="K16" s="165"/>
    </row>
    <row r="17" spans="2:11" s="65" customFormat="1" ht="16.5" customHeight="1">
      <c r="B17" s="344" t="s">
        <v>220</v>
      </c>
      <c r="C17" s="382">
        <v>3000000</v>
      </c>
      <c r="D17" s="382">
        <f>ROUND(+C17*$E$9,5)</f>
        <v>11994000</v>
      </c>
      <c r="F17" s="348"/>
      <c r="H17" s="208"/>
      <c r="K17" s="165"/>
    </row>
    <row r="18" spans="2:11" s="65" customFormat="1" ht="16.5" customHeight="1">
      <c r="B18" s="344" t="s">
        <v>231</v>
      </c>
      <c r="C18" s="382">
        <v>1300000</v>
      </c>
      <c r="D18" s="382">
        <f>ROUND(+C18*$E$9,5)</f>
        <v>5197400</v>
      </c>
      <c r="F18" s="348"/>
      <c r="H18" s="208"/>
      <c r="K18" s="165"/>
    </row>
    <row r="19" spans="2:11" s="65" customFormat="1" ht="12" customHeight="1">
      <c r="B19" s="64"/>
      <c r="C19" s="382"/>
      <c r="D19" s="382"/>
      <c r="H19" s="208"/>
      <c r="K19" s="165"/>
    </row>
    <row r="20" spans="2:11" s="65" customFormat="1" ht="16.5" customHeight="1">
      <c r="B20" s="352" t="s">
        <v>34</v>
      </c>
      <c r="C20" s="381">
        <f>SUM(C21:C26)</f>
        <v>573861.59521</v>
      </c>
      <c r="D20" s="381">
        <f>SUM(D21:D26)</f>
        <v>2294298.65765</v>
      </c>
      <c r="E20" s="512"/>
      <c r="F20" s="463"/>
      <c r="H20" s="208"/>
      <c r="K20" s="165"/>
    </row>
    <row r="21" spans="2:11" s="65" customFormat="1" ht="16.5" customHeight="1">
      <c r="B21" s="344" t="s">
        <v>221</v>
      </c>
      <c r="C21" s="382">
        <v>354476.88458</v>
      </c>
      <c r="D21" s="382">
        <f aca="true" t="shared" si="0" ref="D21:D26">ROUND(+C21*$E$9,5)</f>
        <v>1417198.58455</v>
      </c>
      <c r="E21" s="447"/>
      <c r="F21" s="348"/>
      <c r="H21" s="208"/>
      <c r="K21" s="165"/>
    </row>
    <row r="22" spans="2:11" s="65" customFormat="1" ht="16.5" customHeight="1">
      <c r="B22" s="344" t="s">
        <v>182</v>
      </c>
      <c r="C22" s="382">
        <v>156884.37419</v>
      </c>
      <c r="D22" s="382">
        <f t="shared" si="0"/>
        <v>627223.72801</v>
      </c>
      <c r="E22" s="447"/>
      <c r="F22" s="348"/>
      <c r="H22" s="208"/>
      <c r="K22" s="165"/>
    </row>
    <row r="23" spans="2:11" s="65" customFormat="1" ht="16.5" customHeight="1">
      <c r="B23" s="344" t="s">
        <v>0</v>
      </c>
      <c r="C23" s="382">
        <v>60933.7895</v>
      </c>
      <c r="D23" s="382">
        <f t="shared" si="0"/>
        <v>243613.29042</v>
      </c>
      <c r="E23" s="447"/>
      <c r="F23" s="348"/>
      <c r="G23" s="289"/>
      <c r="H23" s="208"/>
      <c r="K23" s="165"/>
    </row>
    <row r="24" spans="2:11" s="65" customFormat="1" ht="16.5" customHeight="1" hidden="1">
      <c r="B24" s="344" t="s">
        <v>239</v>
      </c>
      <c r="C24" s="382"/>
      <c r="D24" s="382">
        <f t="shared" si="0"/>
        <v>0</v>
      </c>
      <c r="E24" s="447"/>
      <c r="F24" s="348"/>
      <c r="G24" s="289"/>
      <c r="H24" s="208"/>
      <c r="K24" s="165"/>
    </row>
    <row r="25" spans="2:11" s="65" customFormat="1" ht="16.5" customHeight="1">
      <c r="B25" s="344" t="s">
        <v>185</v>
      </c>
      <c r="C25" s="382">
        <v>1553.42677</v>
      </c>
      <c r="D25" s="382">
        <f t="shared" si="0"/>
        <v>6210.60023</v>
      </c>
      <c r="E25" s="447"/>
      <c r="F25" s="348"/>
      <c r="G25" s="207"/>
      <c r="H25" s="207"/>
      <c r="K25" s="165"/>
    </row>
    <row r="26" spans="2:11" s="65" customFormat="1" ht="16.5" customHeight="1">
      <c r="B26" s="344" t="s">
        <v>183</v>
      </c>
      <c r="C26" s="382">
        <v>13.12017</v>
      </c>
      <c r="D26" s="382">
        <f t="shared" si="0"/>
        <v>52.45444</v>
      </c>
      <c r="F26" s="348"/>
      <c r="G26" s="207"/>
      <c r="H26" s="207"/>
      <c r="I26" s="207"/>
      <c r="K26" s="165"/>
    </row>
    <row r="27" spans="2:8" s="65" customFormat="1" ht="15" customHeight="1">
      <c r="B27" s="66"/>
      <c r="C27" s="382"/>
      <c r="D27" s="382"/>
      <c r="G27" s="224"/>
      <c r="H27" s="224"/>
    </row>
    <row r="28" spans="2:8" s="65" customFormat="1" ht="16.5" customHeight="1">
      <c r="B28" s="351" t="s">
        <v>90</v>
      </c>
      <c r="C28" s="381">
        <f>+C30+C38</f>
        <v>3843415.5542699997</v>
      </c>
      <c r="D28" s="381">
        <f>+D30+D38</f>
        <v>15365975.38596074</v>
      </c>
      <c r="F28" s="349"/>
      <c r="G28" s="207"/>
      <c r="H28" s="207"/>
    </row>
    <row r="29" spans="2:4" s="65" customFormat="1" ht="9.75" customHeight="1">
      <c r="B29" s="63"/>
      <c r="C29" s="472"/>
      <c r="D29" s="472"/>
    </row>
    <row r="30" spans="2:8" s="65" customFormat="1" ht="16.5" customHeight="1">
      <c r="B30" s="352" t="s">
        <v>33</v>
      </c>
      <c r="C30" s="381">
        <f>SUM(C31:C36)</f>
        <v>2817063.3537399997</v>
      </c>
      <c r="D30" s="381">
        <f>SUM(D31:D36)</f>
        <v>11262619.28825</v>
      </c>
      <c r="E30" s="512"/>
      <c r="F30" s="463"/>
      <c r="H30" s="208"/>
    </row>
    <row r="31" spans="2:8" s="65" customFormat="1" ht="16.5" customHeight="1">
      <c r="B31" s="344" t="s">
        <v>219</v>
      </c>
      <c r="C31" s="382">
        <v>2373015.5938</v>
      </c>
      <c r="D31" s="382">
        <f aca="true" t="shared" si="1" ref="D31:D36">ROUND(+C31*$E$9,5)</f>
        <v>9487316.34401</v>
      </c>
      <c r="E31" s="380"/>
      <c r="F31" s="443"/>
      <c r="H31" s="208"/>
    </row>
    <row r="32" spans="2:8" s="65" customFormat="1" ht="16.5" customHeight="1">
      <c r="B32" s="344" t="s">
        <v>180</v>
      </c>
      <c r="C32" s="382">
        <v>173735.20101</v>
      </c>
      <c r="D32" s="382">
        <f t="shared" si="1"/>
        <v>694593.33364</v>
      </c>
      <c r="E32" s="380"/>
      <c r="F32" s="443"/>
      <c r="H32" s="208"/>
    </row>
    <row r="33" spans="2:8" s="65" customFormat="1" ht="16.5" customHeight="1">
      <c r="B33" s="344" t="s">
        <v>233</v>
      </c>
      <c r="C33" s="382">
        <v>153159.37425</v>
      </c>
      <c r="D33" s="382">
        <f t="shared" si="1"/>
        <v>612331.17825</v>
      </c>
      <c r="E33" s="380"/>
      <c r="F33" s="443"/>
      <c r="H33" s="208"/>
    </row>
    <row r="34" spans="2:8" s="65" customFormat="1" ht="16.5" customHeight="1">
      <c r="B34" s="344" t="s">
        <v>186</v>
      </c>
      <c r="C34" s="382">
        <v>85542.77138</v>
      </c>
      <c r="D34" s="382">
        <f t="shared" si="1"/>
        <v>341999.99998</v>
      </c>
      <c r="E34" s="380"/>
      <c r="F34" s="443"/>
      <c r="H34" s="208"/>
    </row>
    <row r="35" spans="2:8" s="65" customFormat="1" ht="16.5" customHeight="1">
      <c r="B35" s="344" t="s">
        <v>234</v>
      </c>
      <c r="C35" s="382">
        <v>25000</v>
      </c>
      <c r="D35" s="382">
        <f t="shared" si="1"/>
        <v>99950</v>
      </c>
      <c r="E35" s="380"/>
      <c r="F35" s="443"/>
      <c r="H35" s="208"/>
    </row>
    <row r="36" spans="2:8" s="65" customFormat="1" ht="16.5" customHeight="1">
      <c r="B36" s="344" t="s">
        <v>179</v>
      </c>
      <c r="C36" s="382">
        <v>6610.4133</v>
      </c>
      <c r="D36" s="382">
        <f t="shared" si="1"/>
        <v>26428.43237</v>
      </c>
      <c r="E36" s="380"/>
      <c r="F36" s="443"/>
      <c r="H36" s="208"/>
    </row>
    <row r="37" spans="2:8" s="65" customFormat="1" ht="12" customHeight="1">
      <c r="B37" s="64"/>
      <c r="C37" s="382"/>
      <c r="D37" s="382"/>
      <c r="H37" s="208"/>
    </row>
    <row r="38" spans="2:8" s="65" customFormat="1" ht="16.5" customHeight="1">
      <c r="B38" s="352" t="s">
        <v>34</v>
      </c>
      <c r="C38" s="381">
        <f>SUM(C39:C44)</f>
        <v>1026352.20053</v>
      </c>
      <c r="D38" s="381">
        <f>SUM(D39:D44)</f>
        <v>4103356.09771074</v>
      </c>
      <c r="E38" s="512"/>
      <c r="F38" s="513"/>
      <c r="H38" s="208"/>
    </row>
    <row r="39" spans="2:8" s="65" customFormat="1" ht="16.5" customHeight="1">
      <c r="B39" s="344" t="s">
        <v>222</v>
      </c>
      <c r="C39" s="382">
        <v>548392.25362</v>
      </c>
      <c r="D39" s="382">
        <f>ROUND(+C39*$E$9,5)</f>
        <v>2192472.22997</v>
      </c>
      <c r="F39" s="349"/>
      <c r="H39" s="208"/>
    </row>
    <row r="40" spans="2:8" s="65" customFormat="1" ht="16.5" customHeight="1">
      <c r="B40" s="344" t="s">
        <v>181</v>
      </c>
      <c r="C40" s="382">
        <v>404243.78857</v>
      </c>
      <c r="D40" s="382">
        <f>ROUND(+C40*$E$9,5)</f>
        <v>1616166.6667</v>
      </c>
      <c r="E40" s="380"/>
      <c r="F40" s="499"/>
      <c r="H40" s="208"/>
    </row>
    <row r="41" spans="2:8" s="65" customFormat="1" ht="16.5" customHeight="1">
      <c r="B41" s="344" t="s">
        <v>221</v>
      </c>
      <c r="C41" s="382">
        <v>29021.41853</v>
      </c>
      <c r="D41" s="382">
        <f>ROUND(+C41*$E$9,5)</f>
        <v>116027.63128</v>
      </c>
      <c r="E41" s="380"/>
      <c r="F41" s="443"/>
      <c r="H41" s="208"/>
    </row>
    <row r="42" spans="2:8" s="65" customFormat="1" ht="16.5" customHeight="1">
      <c r="B42" s="344" t="s">
        <v>188</v>
      </c>
      <c r="C42" s="382">
        <v>27013.50675</v>
      </c>
      <c r="D42" s="382">
        <f>ROUND(+C42*$E$9,8)</f>
        <v>107999.9999865</v>
      </c>
      <c r="E42" s="380"/>
      <c r="F42" s="443"/>
      <c r="H42" s="208"/>
    </row>
    <row r="43" spans="2:8" s="65" customFormat="1" ht="16.5" customHeight="1">
      <c r="B43" s="344" t="s">
        <v>211</v>
      </c>
      <c r="C43" s="382">
        <v>17151.43288</v>
      </c>
      <c r="D43" s="382">
        <f>ROUND(+C43*$E$9,8)</f>
        <v>68571.42865424</v>
      </c>
      <c r="E43" s="380"/>
      <c r="F43" s="443"/>
      <c r="H43" s="208"/>
    </row>
    <row r="44" spans="2:8" s="65" customFormat="1" ht="16.5" customHeight="1">
      <c r="B44" s="344" t="s">
        <v>184</v>
      </c>
      <c r="C44" s="382">
        <v>529.80018</v>
      </c>
      <c r="D44" s="382">
        <f>ROUND(+C44*$E$9,5)</f>
        <v>2118.14112</v>
      </c>
      <c r="E44" s="380"/>
      <c r="F44" s="443"/>
      <c r="H44" s="208"/>
    </row>
    <row r="45" spans="2:8" s="65" customFormat="1" ht="9" customHeight="1">
      <c r="B45" s="64"/>
      <c r="C45" s="382"/>
      <c r="D45" s="382"/>
      <c r="H45" s="208"/>
    </row>
    <row r="46" spans="2:8" s="65" customFormat="1" ht="15" customHeight="1">
      <c r="B46" s="597" t="s">
        <v>61</v>
      </c>
      <c r="C46" s="592">
        <f>+C28+C14</f>
        <v>8717277.14948</v>
      </c>
      <c r="D46" s="592">
        <f>+D28+D14</f>
        <v>34851674.04361074</v>
      </c>
      <c r="F46" s="349"/>
      <c r="H46" s="208"/>
    </row>
    <row r="47" spans="2:8" s="81" customFormat="1" ht="15" customHeight="1">
      <c r="B47" s="598"/>
      <c r="C47" s="593"/>
      <c r="D47" s="593"/>
      <c r="H47" s="208"/>
    </row>
    <row r="48" spans="2:8" s="81" customFormat="1" ht="7.5" customHeight="1">
      <c r="B48" s="105"/>
      <c r="C48" s="106"/>
      <c r="D48" s="106"/>
      <c r="H48" s="208"/>
    </row>
    <row r="49" spans="2:4" ht="12.75">
      <c r="B49" s="86" t="s">
        <v>256</v>
      </c>
      <c r="C49" s="514"/>
      <c r="D49" s="86"/>
    </row>
    <row r="50" spans="2:4" ht="12.75">
      <c r="B50" s="86" t="s">
        <v>223</v>
      </c>
      <c r="C50" s="459"/>
      <c r="D50" s="86"/>
    </row>
    <row r="51" spans="2:5" ht="14.25">
      <c r="B51" s="86" t="s">
        <v>261</v>
      </c>
      <c r="C51" s="86"/>
      <c r="D51" s="169"/>
      <c r="E51" s="192"/>
    </row>
    <row r="52" spans="2:5" ht="13.5" customHeight="1">
      <c r="B52" s="86" t="s">
        <v>262</v>
      </c>
      <c r="C52" s="86"/>
      <c r="D52" s="86"/>
      <c r="E52" s="192"/>
    </row>
    <row r="53" spans="2:5" ht="12.75">
      <c r="B53" s="455"/>
      <c r="C53" s="192"/>
      <c r="D53" s="192"/>
      <c r="E53" s="192"/>
    </row>
    <row r="54" spans="2:5" ht="12.75">
      <c r="B54" s="86"/>
      <c r="C54" s="192"/>
      <c r="D54" s="192"/>
      <c r="E54" s="192"/>
    </row>
    <row r="55" spans="3:5" ht="12.75">
      <c r="C55" s="192"/>
      <c r="D55" s="192"/>
      <c r="E55" s="192"/>
    </row>
    <row r="56" spans="2:4" s="136" customFormat="1" ht="18">
      <c r="B56" s="129" t="s">
        <v>118</v>
      </c>
      <c r="C56" s="129"/>
      <c r="D56" s="129"/>
    </row>
    <row r="57" spans="2:4" ht="18">
      <c r="B57" s="319" t="s">
        <v>136</v>
      </c>
      <c r="C57" s="319"/>
      <c r="D57" s="319"/>
    </row>
    <row r="58" spans="2:4" ht="18">
      <c r="B58" s="319" t="s">
        <v>137</v>
      </c>
      <c r="C58" s="319"/>
      <c r="D58" s="319"/>
    </row>
    <row r="59" spans="2:4" ht="16.5">
      <c r="B59" s="343" t="s">
        <v>32</v>
      </c>
      <c r="C59" s="184"/>
      <c r="D59" s="184"/>
    </row>
    <row r="60" spans="2:4" s="136" customFormat="1" ht="18">
      <c r="B60" s="133" t="str">
        <f>+B9</f>
        <v>Al 31 de diciembre de 2021</v>
      </c>
      <c r="C60" s="133"/>
      <c r="D60" s="253"/>
    </row>
    <row r="61" spans="2:4" ht="9.75" customHeight="1">
      <c r="B61" s="602"/>
      <c r="C61" s="602"/>
      <c r="D61" s="602"/>
    </row>
    <row r="62" spans="2:4" ht="16.5" customHeight="1">
      <c r="B62" s="600" t="s">
        <v>95</v>
      </c>
      <c r="C62" s="594" t="s">
        <v>87</v>
      </c>
      <c r="D62" s="584" t="s">
        <v>214</v>
      </c>
    </row>
    <row r="63" spans="2:4" ht="16.5" customHeight="1">
      <c r="B63" s="601"/>
      <c r="C63" s="595"/>
      <c r="D63" s="585"/>
    </row>
    <row r="64" spans="2:4" s="81" customFormat="1" ht="9.75" customHeight="1">
      <c r="B64" s="256"/>
      <c r="C64" s="104"/>
      <c r="D64" s="104"/>
    </row>
    <row r="65" spans="2:4" s="81" customFormat="1" ht="16.5" customHeight="1">
      <c r="B65" s="351" t="s">
        <v>238</v>
      </c>
      <c r="C65" s="381">
        <f>+C67+C69</f>
        <v>0</v>
      </c>
      <c r="D65" s="381">
        <f>+D67+D69</f>
        <v>0</v>
      </c>
    </row>
    <row r="66" spans="2:4" s="81" customFormat="1" ht="9.75" customHeight="1" hidden="1">
      <c r="B66" s="502"/>
      <c r="C66" s="104"/>
      <c r="D66" s="104"/>
    </row>
    <row r="67" spans="2:4" s="81" customFormat="1" ht="16.5" hidden="1">
      <c r="B67" s="352" t="s">
        <v>33</v>
      </c>
      <c r="C67" s="381">
        <v>0</v>
      </c>
      <c r="D67" s="381">
        <v>0</v>
      </c>
    </row>
    <row r="68" spans="2:4" s="81" customFormat="1" ht="9.75" customHeight="1" hidden="1">
      <c r="B68" s="502"/>
      <c r="C68" s="104"/>
      <c r="D68" s="104"/>
    </row>
    <row r="69" spans="2:4" s="81" customFormat="1" ht="16.5" hidden="1">
      <c r="B69" s="352" t="s">
        <v>34</v>
      </c>
      <c r="C69" s="381">
        <f>SUM(C70:C70)</f>
        <v>0</v>
      </c>
      <c r="D69" s="381">
        <f>SUM(D70:D70)</f>
        <v>0</v>
      </c>
    </row>
    <row r="70" spans="2:4" s="81" customFormat="1" ht="16.5" hidden="1">
      <c r="B70" s="344"/>
      <c r="C70" s="382">
        <v>0</v>
      </c>
      <c r="D70" s="382">
        <f>ROUND(+C70*$E$9,8)</f>
        <v>0</v>
      </c>
    </row>
    <row r="71" spans="2:4" s="81" customFormat="1" ht="12" customHeight="1">
      <c r="B71" s="502"/>
      <c r="C71" s="104"/>
      <c r="D71" s="104"/>
    </row>
    <row r="72" spans="2:6" s="65" customFormat="1" ht="16.5" customHeight="1">
      <c r="B72" s="351" t="s">
        <v>236</v>
      </c>
      <c r="C72" s="381">
        <f>+C74+C80</f>
        <v>851230.3748</v>
      </c>
      <c r="D72" s="381">
        <f>+D74+D80</f>
        <v>3403219.0384504003</v>
      </c>
      <c r="F72" s="349"/>
    </row>
    <row r="73" spans="2:8" s="65" customFormat="1" ht="9.75" customHeight="1">
      <c r="B73" s="64"/>
      <c r="C73" s="382"/>
      <c r="D73" s="382"/>
      <c r="H73" s="208"/>
    </row>
    <row r="74" spans="2:8" s="65" customFormat="1" ht="16.5" customHeight="1">
      <c r="B74" s="352" t="s">
        <v>33</v>
      </c>
      <c r="C74" s="381">
        <f>SUM(C75:C78)</f>
        <v>285000</v>
      </c>
      <c r="D74" s="381">
        <f>SUM(D75:D78)</f>
        <v>1139430</v>
      </c>
      <c r="F74" s="349"/>
      <c r="G74" s="209"/>
      <c r="H74" s="209"/>
    </row>
    <row r="75" spans="2:8" s="65" customFormat="1" ht="16.5" customHeight="1">
      <c r="B75" s="344" t="s">
        <v>254</v>
      </c>
      <c r="C75" s="382">
        <v>110000</v>
      </c>
      <c r="D75" s="382">
        <f>ROUND(+C75*$E$9,8)</f>
        <v>439780</v>
      </c>
      <c r="F75" s="349"/>
      <c r="G75" s="209"/>
      <c r="H75" s="209"/>
    </row>
    <row r="76" spans="2:8" s="65" customFormat="1" ht="16.5" customHeight="1">
      <c r="B76" s="344" t="s">
        <v>250</v>
      </c>
      <c r="C76" s="382">
        <v>80000</v>
      </c>
      <c r="D76" s="382">
        <f>ROUND(+C76*$E$9,8)</f>
        <v>319840</v>
      </c>
      <c r="F76" s="349"/>
      <c r="G76" s="209"/>
      <c r="H76" s="209"/>
    </row>
    <row r="77" spans="2:8" s="65" customFormat="1" ht="16.5" customHeight="1">
      <c r="B77" s="344" t="s">
        <v>179</v>
      </c>
      <c r="C77" s="382">
        <v>75000</v>
      </c>
      <c r="D77" s="382">
        <f>ROUND(+C77*$E$9,8)</f>
        <v>299850</v>
      </c>
      <c r="F77" s="349"/>
      <c r="G77" s="209"/>
      <c r="H77" s="209"/>
    </row>
    <row r="78" spans="2:8" s="65" customFormat="1" ht="16.5" customHeight="1">
      <c r="B78" s="344" t="s">
        <v>251</v>
      </c>
      <c r="C78" s="382">
        <v>20000</v>
      </c>
      <c r="D78" s="382">
        <f>ROUND(+C78*$E$9,8)</f>
        <v>79960</v>
      </c>
      <c r="F78" s="349"/>
      <c r="G78" s="209"/>
      <c r="H78" s="209"/>
    </row>
    <row r="79" spans="2:4" s="65" customFormat="1" ht="9.75" customHeight="1">
      <c r="B79" s="63"/>
      <c r="C79" s="472"/>
      <c r="D79" s="472"/>
    </row>
    <row r="80" spans="2:8" s="65" customFormat="1" ht="16.5" customHeight="1">
      <c r="B80" s="352" t="s">
        <v>34</v>
      </c>
      <c r="C80" s="381">
        <f>SUM(C81:C88)</f>
        <v>566230.3748</v>
      </c>
      <c r="D80" s="381">
        <f>SUM(D81:D88)</f>
        <v>2263789.0384504003</v>
      </c>
      <c r="F80" s="349"/>
      <c r="H80" s="208"/>
    </row>
    <row r="81" spans="2:8" s="65" customFormat="1" ht="16.5" customHeight="1">
      <c r="B81" s="344" t="s">
        <v>157</v>
      </c>
      <c r="C81" s="382">
        <v>240403.18349</v>
      </c>
      <c r="D81" s="382">
        <f aca="true" t="shared" si="2" ref="D81:D88">ROUND(+C81*$E$9,8)</f>
        <v>961131.92759302</v>
      </c>
      <c r="E81" s="380"/>
      <c r="F81" s="443"/>
      <c r="H81" s="208"/>
    </row>
    <row r="82" spans="2:8" s="65" customFormat="1" ht="16.5" customHeight="1">
      <c r="B82" s="344" t="s">
        <v>188</v>
      </c>
      <c r="C82" s="382">
        <v>125013.11763</v>
      </c>
      <c r="D82" s="382">
        <f t="shared" si="2"/>
        <v>499802.44428474</v>
      </c>
      <c r="E82" s="380"/>
      <c r="F82" s="443"/>
      <c r="H82" s="208"/>
    </row>
    <row r="83" spans="2:8" s="65" customFormat="1" ht="16.5" customHeight="1">
      <c r="B83" s="344" t="s">
        <v>187</v>
      </c>
      <c r="C83" s="382">
        <v>80456.89509</v>
      </c>
      <c r="D83" s="382">
        <f t="shared" si="2"/>
        <v>321666.66656982</v>
      </c>
      <c r="E83" s="380"/>
      <c r="F83" s="443"/>
      <c r="H83" s="208"/>
    </row>
    <row r="84" spans="2:8" s="65" customFormat="1" ht="16.5" customHeight="1">
      <c r="B84" s="344" t="s">
        <v>184</v>
      </c>
      <c r="C84" s="382">
        <v>76000</v>
      </c>
      <c r="D84" s="382">
        <f t="shared" si="2"/>
        <v>303848</v>
      </c>
      <c r="E84" s="380"/>
      <c r="F84" s="443"/>
      <c r="H84" s="208"/>
    </row>
    <row r="85" spans="2:8" s="65" customFormat="1" ht="16.5" customHeight="1">
      <c r="B85" s="344" t="s">
        <v>248</v>
      </c>
      <c r="C85" s="382">
        <v>30000</v>
      </c>
      <c r="D85" s="382">
        <f t="shared" si="2"/>
        <v>119940</v>
      </c>
      <c r="E85" s="380"/>
      <c r="F85" s="443"/>
      <c r="H85" s="208"/>
    </row>
    <row r="86" spans="2:8" s="65" customFormat="1" ht="16.5" customHeight="1">
      <c r="B86" s="344" t="s">
        <v>263</v>
      </c>
      <c r="C86" s="382">
        <v>10605.30265</v>
      </c>
      <c r="D86" s="382">
        <f t="shared" si="2"/>
        <v>42399.9999947</v>
      </c>
      <c r="E86" s="519"/>
      <c r="F86" s="443"/>
      <c r="H86" s="208"/>
    </row>
    <row r="87" spans="2:8" s="65" customFormat="1" ht="16.5" customHeight="1">
      <c r="B87" s="344" t="s">
        <v>185</v>
      </c>
      <c r="C87" s="382">
        <v>3751.87594</v>
      </c>
      <c r="D87" s="382">
        <f t="shared" si="2"/>
        <v>15000.00000812</v>
      </c>
      <c r="E87" s="519"/>
      <c r="F87" s="443"/>
      <c r="H87" s="208"/>
    </row>
    <row r="88" spans="2:8" s="65" customFormat="1" ht="16.5" customHeight="1" hidden="1">
      <c r="B88" s="344" t="s">
        <v>0</v>
      </c>
      <c r="C88" s="382">
        <v>0</v>
      </c>
      <c r="D88" s="382">
        <f t="shared" si="2"/>
        <v>0</v>
      </c>
      <c r="E88" s="519"/>
      <c r="F88" s="443"/>
      <c r="H88" s="208"/>
    </row>
    <row r="89" spans="2:8" s="65" customFormat="1" ht="9" customHeight="1">
      <c r="B89" s="64"/>
      <c r="C89" s="382"/>
      <c r="D89" s="382"/>
      <c r="H89" s="208"/>
    </row>
    <row r="90" spans="2:8" s="65" customFormat="1" ht="15" customHeight="1">
      <c r="B90" s="603" t="s">
        <v>61</v>
      </c>
      <c r="C90" s="592">
        <f>+C65+C72</f>
        <v>851230.3748</v>
      </c>
      <c r="D90" s="592">
        <f>+D65+D72</f>
        <v>3403219.0384504003</v>
      </c>
      <c r="F90" s="349"/>
      <c r="H90" s="208"/>
    </row>
    <row r="91" spans="2:8" s="81" customFormat="1" ht="15" customHeight="1">
      <c r="B91" s="604"/>
      <c r="C91" s="593"/>
      <c r="D91" s="593"/>
      <c r="F91" s="216"/>
      <c r="H91" s="208"/>
    </row>
    <row r="92" ht="12.75">
      <c r="C92" s="192"/>
    </row>
    <row r="93" spans="3:4" ht="12.75">
      <c r="C93" s="102"/>
      <c r="D93" s="288"/>
    </row>
    <row r="94" spans="3:4" ht="12.75">
      <c r="C94" s="290"/>
      <c r="D94" s="290"/>
    </row>
    <row r="95" ht="12.75">
      <c r="C95" s="434"/>
    </row>
    <row r="96" ht="12.75">
      <c r="C96" s="434"/>
    </row>
    <row r="97" ht="12.75">
      <c r="C97" s="434"/>
    </row>
    <row r="98" ht="12.75">
      <c r="C98" s="434"/>
    </row>
    <row r="99" ht="12.75">
      <c r="C99" s="434"/>
    </row>
    <row r="100" ht="12.75">
      <c r="C100" s="434"/>
    </row>
    <row r="101" ht="12.75">
      <c r="C101" s="434"/>
    </row>
  </sheetData>
  <sheetProtection/>
  <mergeCells count="14">
    <mergeCell ref="B10:D10"/>
    <mergeCell ref="B90:B91"/>
    <mergeCell ref="C90:C91"/>
    <mergeCell ref="D90:D91"/>
    <mergeCell ref="B61:D61"/>
    <mergeCell ref="B62:B63"/>
    <mergeCell ref="D11:D12"/>
    <mergeCell ref="C46:C47"/>
    <mergeCell ref="B46:B47"/>
    <mergeCell ref="C62:C63"/>
    <mergeCell ref="D62:D63"/>
    <mergeCell ref="B11:B12"/>
    <mergeCell ref="D46:D47"/>
    <mergeCell ref="C11:C12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8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91</v>
      </c>
      <c r="C5" s="129"/>
      <c r="D5" s="129"/>
      <c r="I5" s="278"/>
    </row>
    <row r="6" spans="2:9" ht="18">
      <c r="B6" s="319" t="s">
        <v>136</v>
      </c>
      <c r="C6" s="319"/>
      <c r="D6" s="319"/>
      <c r="I6" s="288"/>
    </row>
    <row r="7" spans="2:4" ht="18">
      <c r="B7" s="319" t="s">
        <v>135</v>
      </c>
      <c r="C7" s="319"/>
      <c r="D7" s="319"/>
    </row>
    <row r="8" spans="2:4" ht="16.5">
      <c r="B8" s="343" t="s">
        <v>1</v>
      </c>
      <c r="C8" s="184"/>
      <c r="D8" s="184"/>
    </row>
    <row r="9" spans="2:5" ht="15.75">
      <c r="B9" s="133" t="str">
        <f>+'DEP-C2'!B9</f>
        <v>Al 31 de diciembre de 2021</v>
      </c>
      <c r="C9" s="133"/>
      <c r="D9" s="266"/>
      <c r="E9" s="318">
        <f>+Portada!H39</f>
        <v>3.998</v>
      </c>
    </row>
    <row r="10" spans="2:4" ht="9.75" customHeight="1">
      <c r="B10" s="602"/>
      <c r="C10" s="602"/>
      <c r="D10" s="602"/>
    </row>
    <row r="11" spans="2:4" ht="16.5" customHeight="1">
      <c r="B11" s="588" t="s">
        <v>150</v>
      </c>
      <c r="C11" s="584" t="s">
        <v>87</v>
      </c>
      <c r="D11" s="607" t="s">
        <v>164</v>
      </c>
    </row>
    <row r="12" spans="2:8" s="81" customFormat="1" ht="16.5" customHeight="1">
      <c r="B12" s="589"/>
      <c r="C12" s="585"/>
      <c r="D12" s="608"/>
      <c r="H12" s="206"/>
    </row>
    <row r="13" spans="2:8" s="81" customFormat="1" ht="9.75" customHeight="1">
      <c r="B13" s="254"/>
      <c r="C13" s="507"/>
      <c r="D13" s="138"/>
      <c r="H13" s="206"/>
    </row>
    <row r="14" spans="2:9" s="65" customFormat="1" ht="16.5" customHeight="1">
      <c r="B14" s="362" t="s">
        <v>0</v>
      </c>
      <c r="C14" s="508">
        <f>SUM(C15:C16)</f>
        <v>4357315.83102</v>
      </c>
      <c r="D14" s="471">
        <f>SUM(D15:D16)</f>
        <v>17420548.692417998</v>
      </c>
      <c r="E14" s="219"/>
      <c r="F14" s="349"/>
      <c r="G14" s="291"/>
      <c r="H14" s="291"/>
      <c r="I14" s="291"/>
    </row>
    <row r="15" spans="2:8" s="65" customFormat="1" ht="16.5" customHeight="1">
      <c r="B15" s="69" t="s">
        <v>24</v>
      </c>
      <c r="C15" s="509">
        <v>513900.27675</v>
      </c>
      <c r="D15" s="470">
        <f>ROUND(+C15*$E$9,8)</f>
        <v>2054573.3064465</v>
      </c>
      <c r="E15" s="457"/>
      <c r="F15" s="348"/>
      <c r="G15" s="353"/>
      <c r="H15" s="291"/>
    </row>
    <row r="16" spans="2:8" s="65" customFormat="1" ht="16.5" customHeight="1">
      <c r="B16" s="69" t="s">
        <v>25</v>
      </c>
      <c r="C16" s="509">
        <v>3843415.55427</v>
      </c>
      <c r="D16" s="470">
        <f>ROUND(+C16*$E$9,8)</f>
        <v>15365975.3859715</v>
      </c>
      <c r="E16" s="457"/>
      <c r="F16" s="348"/>
      <c r="G16" s="291"/>
      <c r="H16" s="291"/>
    </row>
    <row r="17" spans="2:8" s="65" customFormat="1" ht="12" customHeight="1">
      <c r="B17" s="69"/>
      <c r="C17" s="509"/>
      <c r="D17" s="470"/>
      <c r="E17" s="456"/>
      <c r="H17" s="210"/>
    </row>
    <row r="18" spans="2:8" s="65" customFormat="1" ht="16.5" customHeight="1">
      <c r="B18" s="362" t="s">
        <v>189</v>
      </c>
      <c r="C18" s="508">
        <f>SUM(C19:C19)</f>
        <v>59961.31846</v>
      </c>
      <c r="D18" s="471">
        <f>SUM(D19:D19)</f>
        <v>239725.35120308</v>
      </c>
      <c r="E18" s="456"/>
      <c r="F18" s="349"/>
      <c r="G18" s="292"/>
      <c r="H18" s="292"/>
    </row>
    <row r="19" spans="2:8" s="65" customFormat="1" ht="16.5" customHeight="1">
      <c r="B19" s="69" t="s">
        <v>24</v>
      </c>
      <c r="C19" s="509">
        <v>59961.31846</v>
      </c>
      <c r="D19" s="470">
        <f>ROUND(+C19*$E$9,8)</f>
        <v>239725.35120308</v>
      </c>
      <c r="E19" s="457"/>
      <c r="F19" s="348"/>
      <c r="H19" s="210"/>
    </row>
    <row r="20" spans="2:8" s="65" customFormat="1" ht="11.25" customHeight="1">
      <c r="B20" s="69"/>
      <c r="C20" s="509"/>
      <c r="D20" s="470"/>
      <c r="E20" s="456"/>
      <c r="H20" s="210"/>
    </row>
    <row r="21" spans="2:8" s="65" customFormat="1" ht="16.5" customHeight="1">
      <c r="B21" s="362" t="s">
        <v>190</v>
      </c>
      <c r="C21" s="508">
        <f>+C22</f>
        <v>4300000</v>
      </c>
      <c r="D21" s="471">
        <f>+D22</f>
        <v>17191400</v>
      </c>
      <c r="E21" s="456"/>
      <c r="F21" s="349"/>
      <c r="H21" s="210"/>
    </row>
    <row r="22" spans="2:8" s="65" customFormat="1" ht="16.5" customHeight="1">
      <c r="B22" s="69" t="s">
        <v>24</v>
      </c>
      <c r="C22" s="509">
        <v>4300000</v>
      </c>
      <c r="D22" s="470">
        <f>ROUND(+C22*$E$9,8)</f>
        <v>17191400</v>
      </c>
      <c r="E22" s="457"/>
      <c r="F22" s="348"/>
      <c r="H22" s="210"/>
    </row>
    <row r="23" spans="2:8" s="65" customFormat="1" ht="9.75" customHeight="1">
      <c r="B23" s="68"/>
      <c r="C23" s="510"/>
      <c r="D23" s="469"/>
      <c r="F23" s="348"/>
      <c r="H23" s="210"/>
    </row>
    <row r="24" spans="2:8" s="65" customFormat="1" ht="15" customHeight="1">
      <c r="B24" s="597" t="s">
        <v>61</v>
      </c>
      <c r="C24" s="605">
        <f>+C18+C14+C21</f>
        <v>8717277.14948</v>
      </c>
      <c r="D24" s="609">
        <f>+D18+D14+D21</f>
        <v>34851674.04362108</v>
      </c>
      <c r="F24" s="349"/>
      <c r="H24" s="210"/>
    </row>
    <row r="25" spans="2:8" s="81" customFormat="1" ht="15" customHeight="1">
      <c r="B25" s="598"/>
      <c r="C25" s="606"/>
      <c r="D25" s="610"/>
      <c r="H25" s="206"/>
    </row>
    <row r="26" spans="2:8" s="81" customFormat="1" ht="7.5" customHeight="1">
      <c r="B26" s="251"/>
      <c r="C26" s="139"/>
      <c r="D26" s="139"/>
      <c r="H26" s="206"/>
    </row>
    <row r="27" spans="2:8" s="65" customFormat="1" ht="17.25" customHeight="1">
      <c r="B27" s="452" t="s">
        <v>191</v>
      </c>
      <c r="C27" s="516"/>
      <c r="D27" s="452"/>
      <c r="H27" s="210"/>
    </row>
    <row r="28" spans="2:8" s="65" customFormat="1" ht="17.25" customHeight="1">
      <c r="B28" s="452" t="s">
        <v>192</v>
      </c>
      <c r="C28" s="453"/>
      <c r="D28" s="452"/>
      <c r="H28" s="210"/>
    </row>
    <row r="29" spans="3:4" ht="12.75">
      <c r="C29" s="245"/>
      <c r="D29" s="245"/>
    </row>
    <row r="30" ht="12.75">
      <c r="C30" s="293"/>
    </row>
    <row r="32" spans="3:4" ht="12.75">
      <c r="C32" s="131"/>
      <c r="D32" s="131"/>
    </row>
    <row r="33" spans="2:8" s="136" customFormat="1" ht="18">
      <c r="B33" s="129" t="s">
        <v>119</v>
      </c>
      <c r="C33" s="129"/>
      <c r="D33" s="129"/>
      <c r="H33" s="220"/>
    </row>
    <row r="34" spans="2:8" s="136" customFormat="1" ht="18">
      <c r="B34" s="319" t="s">
        <v>136</v>
      </c>
      <c r="C34" s="319"/>
      <c r="D34" s="319"/>
      <c r="H34" s="220"/>
    </row>
    <row r="35" spans="2:8" s="136" customFormat="1" ht="18">
      <c r="B35" s="319" t="s">
        <v>137</v>
      </c>
      <c r="C35" s="319"/>
      <c r="D35" s="319"/>
      <c r="H35" s="220"/>
    </row>
    <row r="36" spans="2:8" s="136" customFormat="1" ht="18">
      <c r="B36" s="343" t="s">
        <v>1</v>
      </c>
      <c r="C36" s="184"/>
      <c r="D36" s="184"/>
      <c r="H36" s="220"/>
    </row>
    <row r="37" spans="2:8" s="136" customFormat="1" ht="18">
      <c r="B37" s="133" t="str">
        <f>+B9</f>
        <v>Al 31 de diciembre de 2021</v>
      </c>
      <c r="C37" s="133"/>
      <c r="D37" s="253"/>
      <c r="H37" s="220"/>
    </row>
    <row r="38" spans="2:4" ht="9.75" customHeight="1">
      <c r="B38" s="602"/>
      <c r="C38" s="602"/>
      <c r="D38" s="602"/>
    </row>
    <row r="39" spans="2:4" ht="16.5" customHeight="1">
      <c r="B39" s="588" t="s">
        <v>150</v>
      </c>
      <c r="C39" s="584" t="s">
        <v>87</v>
      </c>
      <c r="D39" s="584" t="s">
        <v>164</v>
      </c>
    </row>
    <row r="40" spans="2:8" s="81" customFormat="1" ht="16.5" customHeight="1">
      <c r="B40" s="589"/>
      <c r="C40" s="585"/>
      <c r="D40" s="585"/>
      <c r="H40" s="206"/>
    </row>
    <row r="41" spans="2:8" s="81" customFormat="1" ht="9.75" customHeight="1">
      <c r="B41" s="254"/>
      <c r="C41" s="260"/>
      <c r="D41" s="140"/>
      <c r="H41" s="206"/>
    </row>
    <row r="42" spans="2:8" s="65" customFormat="1" ht="16.5" customHeight="1">
      <c r="B42" s="362" t="s">
        <v>0</v>
      </c>
      <c r="C42" s="381">
        <f>SUM(C43:C44)</f>
        <v>177126.81499</v>
      </c>
      <c r="D42" s="471">
        <f>SUM(D43:D44)</f>
        <v>708153.00633002</v>
      </c>
      <c r="E42" s="219"/>
      <c r="H42" s="210"/>
    </row>
    <row r="43" spans="2:8" s="65" customFormat="1" ht="16.5" customHeight="1">
      <c r="B43" s="69" t="s">
        <v>24</v>
      </c>
      <c r="C43" s="382">
        <v>177126.81499</v>
      </c>
      <c r="D43" s="470">
        <f>ROUND(+C43*$E$9,8)</f>
        <v>708153.00633002</v>
      </c>
      <c r="E43" s="219"/>
      <c r="F43" s="361"/>
      <c r="H43" s="210"/>
    </row>
    <row r="44" spans="2:8" s="65" customFormat="1" ht="16.5" customHeight="1" hidden="1">
      <c r="B44" s="69" t="s">
        <v>25</v>
      </c>
      <c r="C44" s="382">
        <v>0</v>
      </c>
      <c r="D44" s="470">
        <f>ROUND(+C44*$E$9,8)</f>
        <v>0</v>
      </c>
      <c r="E44" s="219"/>
      <c r="F44" s="361"/>
      <c r="H44" s="210"/>
    </row>
    <row r="45" spans="2:8" s="65" customFormat="1" ht="12" customHeight="1">
      <c r="B45" s="69"/>
      <c r="C45" s="382"/>
      <c r="D45" s="470"/>
      <c r="E45" s="219"/>
      <c r="H45" s="210"/>
    </row>
    <row r="46" spans="2:8" s="65" customFormat="1" ht="16.5" customHeight="1">
      <c r="B46" s="362" t="s">
        <v>159</v>
      </c>
      <c r="C46" s="381">
        <f>+C47</f>
        <v>674103.55981</v>
      </c>
      <c r="D46" s="471">
        <f>+D47</f>
        <v>2695066.03212038</v>
      </c>
      <c r="E46" s="221"/>
      <c r="F46" s="109"/>
      <c r="H46" s="210"/>
    </row>
    <row r="47" spans="2:8" s="65" customFormat="1" ht="16.5" customHeight="1">
      <c r="B47" s="69" t="s">
        <v>24</v>
      </c>
      <c r="C47" s="382">
        <v>674103.55981</v>
      </c>
      <c r="D47" s="470">
        <f>ROUND(+C47*$E$9,8)</f>
        <v>2695066.03212038</v>
      </c>
      <c r="E47" s="221"/>
      <c r="F47" s="353"/>
      <c r="H47" s="210"/>
    </row>
    <row r="48" spans="2:8" s="65" customFormat="1" ht="9.75" customHeight="1">
      <c r="B48" s="68"/>
      <c r="C48" s="389"/>
      <c r="D48" s="469"/>
      <c r="H48" s="210"/>
    </row>
    <row r="49" spans="2:8" s="65" customFormat="1" ht="15" customHeight="1">
      <c r="B49" s="597" t="s">
        <v>61</v>
      </c>
      <c r="C49" s="592">
        <f>+C42+C46</f>
        <v>851230.3748</v>
      </c>
      <c r="D49" s="609">
        <f>+D42+D46</f>
        <v>3403219.0384504003</v>
      </c>
      <c r="H49" s="210"/>
    </row>
    <row r="50" spans="2:8" s="81" customFormat="1" ht="15" customHeight="1">
      <c r="B50" s="598"/>
      <c r="C50" s="593"/>
      <c r="D50" s="610"/>
      <c r="H50" s="206"/>
    </row>
    <row r="51" ht="4.5" customHeight="1"/>
    <row r="52" spans="3:4" ht="12.75">
      <c r="C52" s="434"/>
      <c r="D52" s="245"/>
    </row>
    <row r="53" ht="12.75">
      <c r="C53" s="168"/>
    </row>
    <row r="56" ht="12.75">
      <c r="C56" s="168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2022-01-27T22:11:01Z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