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'DGRGL-C3'!$B$1:$E$50</definedName>
    <definedName name="_xlnm.Print_Area" localSheetId="7">'DGRGL-C4'!$B$1:$E$66</definedName>
    <definedName name="_xlnm.Print_Area" localSheetId="8">'DGRGL-C5'!$B$1:$D$120</definedName>
    <definedName name="_xlnm.Print_Area" localSheetId="9">'DGRGL-C6'!$A$1:$D$289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<sst xmlns="http://schemas.openxmlformats.org/spreadsheetml/2006/main" count="661" uniqueCount="440">
  <si>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</si>
  <si>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</si>
  <si>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</si>
  <si>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</si>
  <si>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</si>
  <si>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</si>
  <si>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</si>
  <si>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</si>
  <si>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</si>
  <si>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</si>
  <si>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</si>
  <si>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</si>
  <si>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</si>
  <si>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</si>
  <si>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</si>
  <si>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</si>
  <si>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</si>
  <si>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</si>
  <si>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</si>
  <si>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</si>
  <si>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</si>
  <si>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</si>
  <si>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</si>
  <si>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</si>
  <si>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</si>
  <si>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</si>
  <si>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</si>
  <si>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</si>
  <si>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</si>
  <si>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</si>
  <si>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</si>
  <si>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</si>
  <si>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</si>
  <si>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</si>
  <si>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</si>
  <si>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</si>
  <si>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</si>
  <si>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</si>
  <si>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</si>
  <si>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</si>
  <si>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</si>
  <si>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</si>
  <si>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</si>
  <si>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</si>
  <si>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</si>
  <si>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</si>
  <si>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</si>
  <si>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</si>
  <si>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</si>
  <si>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</si>
  <si>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</si>
  <si>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</si>
  <si>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</si>
  <si>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</si>
  <si>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</si>
  <si>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</si>
  <si>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</si>
  <si>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</si>
  <si>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</si>
  <si>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</si>
  <si>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</si>
  <si>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</si>
  <si>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</si>
  <si>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</si>
  <si>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</si>
  <si>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</si>
  <si>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</si>
  <si>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</si>
  <si>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</si>
  <si>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</si>
  <si>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</si>
  <si>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</si>
  <si>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</si>
  <si>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</si>
  <si>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</si>
  <si>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</si>
  <si>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</si>
  <si>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</si>
  <si>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</si>
  <si>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</si>
  <si>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</si>
  <si>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</si>
  <si>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</si>
  <si>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</si>
  <si>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</si>
  <si>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</si>
  <si>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</si>
  <si>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</si>
  <si>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</si>
  <si>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</si>
  <si>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</si>
  <si>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</si>
  <si>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</si>
  <si>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</si>
  <si>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</si>
  <si>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</si>
  <si>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</si>
  <si>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</si>
  <si>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</si>
  <si>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</si>
  <si>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</si>
  <si>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</si>
  <si>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</si>
  <si>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</si>
  <si>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</si>
  <si>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</si>
  <si>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</si>
  <si>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</si>
  <si>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</si>
  <si>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</si>
  <si>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</si>
  <si>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</si>
  <si>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</si>
  <si>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</si>
  <si>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</si>
  <si>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</si>
  <si>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</si>
  <si>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</si>
  <si>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</si>
  <si>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</si>
  <si>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</si>
  <si>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</si>
  <si>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</si>
  <si>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</si>
  <si>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</si>
  <si>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</si>
  <si>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</si>
  <si>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</si>
  <si>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</si>
  <si>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</si>
  <si>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</si>
  <si>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</si>
  <si>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</si>
  <si>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</si>
  <si>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</si>
  <si>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</si>
  <si>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</si>
  <si>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</si>
  <si>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</si>
  <si>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</si>
  <si>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</si>
  <si>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</si>
  <si>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</si>
  <si>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</si>
  <si>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</si>
  <si>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</si>
  <si>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</si>
  <si>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</si>
  <si>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</si>
  <si>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</si>
  <si>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</si>
  <si>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</si>
  <si>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</si>
  <si>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</si>
  <si>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</si>
  <si>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</si>
  <si>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</si>
  <si>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</si>
  <si>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</si>
  <si>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</si>
  <si>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</si>
  <si>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</si>
  <si>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</si>
  <si>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</si>
  <si>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</si>
  <si>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</si>
  <si>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</si>
  <si>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</si>
  <si>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</si>
  <si>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</si>
  <si>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</si>
  <si>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</si>
  <si>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</si>
  <si>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</si>
  <si>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</si>
  <si>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</si>
  <si>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</si>
  <si>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</si>
  <si>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</si>
  <si>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</si>
  <si>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</si>
  <si>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</si>
  <si>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</si>
  <si>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</si>
  <si>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</si>
  <si>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</si>
  <si>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</si>
  <si>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</si>
  <si>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</si>
  <si>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</si>
  <si>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</si>
  <si>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</si>
  <si>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</si>
  <si>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</si>
  <si>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</si>
  <si>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</si>
  <si>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</si>
  <si>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</si>
  <si>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</si>
  <si>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</si>
  <si>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</si>
  <si>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</si>
  <si>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</si>
  <si>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</si>
  <si>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</si>
  <si>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</si>
  <si>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</si>
  <si>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</si>
  <si>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</si>
  <si>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</si>
  <si>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</si>
  <si>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</si>
  <si>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</si>
  <si>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</si>
  <si>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</si>
  <si>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</si>
  <si>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</si>
  <si>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</si>
  <si>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</si>
  <si>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</si>
  <si>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</si>
  <si>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</si>
  <si>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</si>
  <si>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</si>
  <si>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</si>
  <si>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</si>
  <si>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</si>
  <si>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</si>
  <si>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</si>
  <si>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</si>
  <si>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</si>
  <si>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</si>
  <si>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</si>
  <si>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</si>
  <si>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</si>
  <si>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</si>
  <si>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</si>
  <si>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</si>
  <si>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</si>
  <si>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</si>
  <si>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</si>
  <si>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</si>
  <si>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</si>
  <si>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</si>
  <si>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</si>
  <si>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</si>
  <si>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</si>
  <si>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</si>
  <si>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</si>
  <si>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</si>
  <si>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</si>
  <si>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</si>
  <si>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</si>
  <si>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</si>
  <si>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</si>
  <si>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</si>
  <si>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</si>
  <si>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</si>
  <si>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</si>
  <si>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</si>
  <si>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</si>
  <si>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</si>
  <si>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</si>
  <si>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</si>
  <si>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</si>
  <si>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</si>
  <si>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</si>
  <si>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</si>
  <si>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</si>
  <si>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</si>
  <si>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</si>
  <si>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</si>
  <si>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</si>
  <si>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</si>
  <si>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</si>
  <si>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</si>
  <si>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</si>
  <si>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</si>
  <si>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</si>
  <si>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</si>
  <si>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</si>
  <si>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</si>
  <si>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</si>
  <si>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</si>
  <si>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</si>
  <si>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</si>
  <si>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</si>
  <si>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</si>
  <si>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</si>
  <si>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</si>
  <si>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</si>
  <si>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</si>
  <si>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</si>
  <si>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</si>
  <si>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</si>
  <si>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</si>
  <si>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</si>
  <si>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</si>
  <si>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</si>
  <si>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</si>
  <si>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</si>
  <si>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Provincial de Ica</t>
  </si>
  <si>
    <t>Municipalidad Distrital de Pacocha</t>
  </si>
  <si>
    <t>Municipalidad Distrital de El Porvenir</t>
  </si>
  <si>
    <t>Municipalidad Distrital de San Rafael</t>
  </si>
  <si>
    <t>Municipalidad Distrital de Iparia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</si>
  <si>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</si>
  <si>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</si>
  <si>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</si>
  <si>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</si>
  <si>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</si>
  <si>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</si>
  <si>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Huarango</t>
  </si>
  <si>
    <t>Municipalidad Distrital de San Pablo de Pillao</t>
  </si>
  <si>
    <t>Municipalidad Distrital de Cortegana</t>
  </si>
  <si>
    <t>Municipalidad Distrital de Pilcomayo</t>
  </si>
  <si>
    <t>Municipalidad Provincial de Tocache</t>
  </si>
  <si>
    <t>Municipalidad Distrital de Vilque</t>
  </si>
  <si>
    <t>Municipalidad Distrital de Pucara</t>
  </si>
  <si>
    <t>Municipalidad Distrital de Pangoa</t>
  </si>
  <si>
    <t>Municipalidad Distrital de Tambo</t>
  </si>
  <si>
    <t>Municipalidad Distrital de Sayapullo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</si>
  <si>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</si>
  <si>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</si>
  <si>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</si>
  <si>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</si>
  <si>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</si>
  <si>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</si>
  <si>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</si>
  <si>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</si>
  <si>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</si>
  <si>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</si>
  <si>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</si>
  <si>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</si>
  <si>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</si>
  <si>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</si>
  <si>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</si>
  <si>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</si>
  <si>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Huambos</t>
  </si>
  <si>
    <t>Municipalidad Distrital de Acobambilla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</si>
  <si>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</si>
  <si>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</si>
  <si>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</si>
  <si>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</si>
  <si>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</si>
  <si>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</si>
  <si>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</si>
  <si>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</si>
  <si>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</si>
  <si>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</si>
  <si>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</si>
  <si>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</si>
  <si>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Distrital de Puños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</si>
  <si>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</si>
  <si>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</si>
  <si>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</si>
  <si>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</si>
  <si>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</si>
  <si>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</si>
  <si>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</si>
  <si>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</si>
  <si>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Callayuc</t>
  </si>
  <si>
    <t>Municipalidad Distrital de Llusco</t>
  </si>
  <si>
    <t>Municipalidad Distrital de Alto Pichigua</t>
  </si>
  <si>
    <t>Municipalidad Distrital de Castillo Grande</t>
  </si>
  <si>
    <t>Municipalidad Distrital de San Juan de Jarpa</t>
  </si>
  <si>
    <t>Municipalidad Distrital de Uchiza</t>
  </si>
  <si>
    <t>Municipalidad Distrital de Tilali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</si>
  <si>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</si>
  <si>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</si>
  <si>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</si>
  <si>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</si>
  <si>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</si>
  <si>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</si>
  <si>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</si>
  <si>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</si>
  <si>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Lalaquiz</t>
  </si>
  <si>
    <t>Municipalidad Distrital de Santa Rosa de Alto Yanajanca</t>
  </si>
  <si>
    <t>Municipalidad Distrital de Fernando Lores</t>
  </si>
  <si>
    <t>Municipalidad Distrital de Colquepata</t>
  </si>
  <si>
    <t>Municipalidad Distrital de Kosñipata</t>
  </si>
  <si>
    <t>Municipalidad Distrital de Tupac Amaru</t>
  </si>
  <si>
    <t>Municipalidad Provincial de Marañon - Huacrachuco</t>
  </si>
  <si>
    <t>Municipalidad Distrital de Morales</t>
  </si>
  <si>
    <t>Municipalidad Distrital de Leoncio Prado</t>
  </si>
  <si>
    <t>Municipalidad Distrital de Tambillo</t>
  </si>
  <si>
    <t>Municipalidad Distrital de Jazan</t>
  </si>
  <si>
    <t>AL 31 DE DICIEMBRE DE 2023</t>
  </si>
  <si>
    <t>Al 31 de diciembre de 2023</t>
  </si>
  <si>
    <t>Municipalidad Distrital de El Alto</t>
  </si>
  <si>
    <t>Municipalidad Distrital de Pillco Marca</t>
  </si>
  <si>
    <t>Municipalidad Provincial de Sanchez Carrión - Huamachuco</t>
  </si>
  <si>
    <t>Municipalidad Distrital de San Jeronimo de Tunan</t>
  </si>
  <si>
    <t>Municipalidad Distrital de San Marcos Rocchac</t>
  </si>
  <si>
    <t xml:space="preserve">      con deuda menor a US$ 110 mil, se agrupan en "Otros" e incluye a 19 entidades.</t>
  </si>
  <si>
    <t>Municipalidad Provincial de Huancabamba</t>
  </si>
  <si>
    <t>Municipalidad Distrital de Honoria</t>
  </si>
  <si>
    <t>Municipalidad Distrital de Colquemarca</t>
  </si>
  <si>
    <t>Municipalidad Distrital de Mi Perú</t>
  </si>
  <si>
    <t>Municipalidad Distrital de Pucusana</t>
  </si>
  <si>
    <t>Municipalidad Distrital de El Cenepa</t>
  </si>
  <si>
    <t>Municipalidad Distrital de La Banda de Shilcayo</t>
  </si>
  <si>
    <t>Municipalidad Distrital de Aramango</t>
  </si>
  <si>
    <t>Municipalidad Distrital de Socos</t>
  </si>
  <si>
    <t>Municipalidad Distrital de Anta</t>
  </si>
  <si>
    <t>Municipalidad Distrital de Chirinos</t>
  </si>
  <si>
    <t>Municipalidad Distrital de Churubamba</t>
  </si>
  <si>
    <t>Municipalidad Distrital de Cospan</t>
  </si>
  <si>
    <t>Municipalidad Distrital de San Martin</t>
  </si>
  <si>
    <t>Municipalidad Distrital de Huaccana</t>
  </si>
  <si>
    <t>Municipalidad Distrital de La Matanza</t>
  </si>
  <si>
    <t>Municipalidad Distrital de Sivia</t>
  </si>
  <si>
    <t>Municipalidad Distrital de Santa Rosa</t>
  </si>
  <si>
    <t>Municipalidad Distrital de Santiago de Pupuja</t>
  </si>
  <si>
    <t>Municipalidad Distrital de Cochorco</t>
  </si>
  <si>
    <t>Municipalidad Distrital de Rocchacc</t>
  </si>
  <si>
    <t>Municipalidad Distrital de Suyckutambo</t>
  </si>
  <si>
    <t>Municipalidad Distrital de La Libertad de Pallan</t>
  </si>
  <si>
    <t>Municipalidad Distrital de La Perla</t>
  </si>
  <si>
    <t>Municipalidad Distrital de Yanas</t>
  </si>
  <si>
    <t>Municipalidad Distrital de Cabana</t>
  </si>
  <si>
    <t>Municipalidad Distrital de Constitucion</t>
  </si>
  <si>
    <t>Municipalidad Distrital de Union Progreso</t>
  </si>
  <si>
    <t>Municipalidad Distrital de San Jose de Lourdes</t>
  </si>
  <si>
    <t>Municipalidad Distrital de Montero</t>
  </si>
  <si>
    <t>Municipalidad Distrital de Santo Domingo de La Capilla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</si>
  <si>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25 entidades.</t>
    </r>
  </si>
  <si>
    <t>SERVICIO ANUAL - POR TIPO DE DEUDA - PERÍODO: DESDE 2024 AL 2040</t>
  </si>
  <si>
    <t>Período: Desde 2024 al 2043</t>
  </si>
  <si>
    <t xml:space="preserve">          - Tipo de Cambio del 31 de diciembre de 2023. </t>
  </si>
  <si>
    <t>2023</t>
  </si>
  <si>
    <r>
      <t xml:space="preserve"> CRÉDITOS  </t>
    </r>
    <r>
      <rPr>
        <b/>
        <sz val="8"/>
        <rFont val="Arial"/>
        <family val="2"/>
      </rPr>
      <t xml:space="preserve"> 2/</t>
    </r>
  </si>
  <si>
    <t xml:space="preserve"> 2/  Incluye deuda externa contratada por el Gobierno Nacional y trasladada a los Gobiernos </t>
  </si>
  <si>
    <r>
      <t xml:space="preserve"> BONOS   </t>
    </r>
    <r>
      <rPr>
        <b/>
        <sz val="8"/>
        <rFont val="Arial"/>
        <family val="2"/>
      </rPr>
      <t>1/</t>
    </r>
  </si>
  <si>
    <t xml:space="preserve"> 1/  Bonos de la Municipalidad Metropolitana de Lima.</t>
  </si>
  <si>
    <r>
      <t xml:space="preserve">MEF  </t>
    </r>
    <r>
      <rPr>
        <b/>
        <sz val="8"/>
        <rFont val="Arial"/>
        <family val="2"/>
      </rPr>
      <t xml:space="preserve"> 4/   </t>
    </r>
  </si>
  <si>
    <t xml:space="preserve"> 4/  Deuda entre sectores interinstitucionales.</t>
  </si>
  <si>
    <t xml:space="preserve"> 3/  Bonos de la Municipalidad Metropolitana de Lima.</t>
  </si>
  <si>
    <r>
      <t xml:space="preserve">Bonistas    </t>
    </r>
    <r>
      <rPr>
        <b/>
        <sz val="8"/>
        <rFont val="Arial"/>
        <family val="2"/>
      </rPr>
      <t>3/</t>
    </r>
  </si>
  <si>
    <t>Bonistas</t>
  </si>
</sst>
</file>

<file path=xl/styles.xml><?xml version="1.0" encoding="utf-8"?>
<styleSheet xmlns="http://schemas.openxmlformats.org/spreadsheetml/2006/main">
  <numFmts count="5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_ ;[Red]\-#,##0.000000\ "/>
    <numFmt numFmtId="211" formatCode="#,##0.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75"/>
      <color indexed="8"/>
      <name val="Arial"/>
      <family val="0"/>
    </font>
    <font>
      <b/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9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80" fillId="20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6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7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/>
    </xf>
    <xf numFmtId="0" fontId="87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8" fillId="33" borderId="0" xfId="0" applyFont="1" applyFill="1" applyAlignment="1">
      <alignment/>
    </xf>
    <xf numFmtId="0" fontId="68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8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8" fillId="33" borderId="23" xfId="0" applyFont="1" applyFill="1" applyBorder="1" applyAlignment="1">
      <alignment horizontal="left" vertical="center" indent="1"/>
    </xf>
    <xf numFmtId="187" fontId="89" fillId="33" borderId="0" xfId="49" applyNumberFormat="1" applyFont="1" applyFill="1" applyBorder="1" applyAlignment="1">
      <alignment vertical="center"/>
    </xf>
    <xf numFmtId="181" fontId="89" fillId="33" borderId="0" xfId="49" applyNumberFormat="1" applyFont="1" applyFill="1" applyBorder="1" applyAlignment="1">
      <alignment vertical="center"/>
    </xf>
    <xf numFmtId="183" fontId="89" fillId="33" borderId="0" xfId="49" applyNumberFormat="1" applyFont="1" applyFill="1" applyBorder="1" applyAlignment="1">
      <alignment vertical="center"/>
    </xf>
    <xf numFmtId="171" fontId="89" fillId="33" borderId="0" xfId="59" applyNumberFormat="1" applyFont="1" applyFill="1" applyBorder="1" applyAlignment="1">
      <alignment horizontal="center" vertical="center"/>
    </xf>
    <xf numFmtId="182" fontId="88" fillId="33" borderId="0" xfId="0" applyNumberFormat="1" applyFont="1" applyFill="1" applyBorder="1" applyAlignment="1">
      <alignment vertical="center"/>
    </xf>
    <xf numFmtId="181" fontId="88" fillId="33" borderId="0" xfId="0" applyNumberFormat="1" applyFont="1" applyFill="1" applyBorder="1" applyAlignment="1">
      <alignment vertical="center"/>
    </xf>
    <xf numFmtId="188" fontId="88" fillId="33" borderId="0" xfId="0" applyNumberFormat="1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187" fontId="88" fillId="32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horizontal="left"/>
    </xf>
    <xf numFmtId="179" fontId="68" fillId="33" borderId="0" xfId="0" applyNumberFormat="1" applyFont="1" applyFill="1" applyBorder="1" applyAlignment="1">
      <alignment horizontal="left"/>
    </xf>
    <xf numFmtId="201" fontId="68" fillId="33" borderId="0" xfId="0" applyNumberFormat="1" applyFont="1" applyFill="1" applyBorder="1" applyAlignment="1">
      <alignment horizontal="left"/>
    </xf>
    <xf numFmtId="38" fontId="87" fillId="33" borderId="0" xfId="49" applyNumberFormat="1" applyFont="1" applyFill="1" applyBorder="1" applyAlignment="1">
      <alignment vertical="center"/>
    </xf>
    <xf numFmtId="38" fontId="68" fillId="33" borderId="0" xfId="0" applyNumberFormat="1" applyFont="1" applyFill="1" applyBorder="1" applyAlignment="1">
      <alignment horizontal="center"/>
    </xf>
    <xf numFmtId="196" fontId="68" fillId="33" borderId="0" xfId="0" applyNumberFormat="1" applyFont="1" applyFill="1" applyBorder="1" applyAlignment="1">
      <alignment horizontal="left"/>
    </xf>
    <xf numFmtId="193" fontId="68" fillId="33" borderId="0" xfId="0" applyNumberFormat="1" applyFont="1" applyFill="1" applyAlignment="1">
      <alignment/>
    </xf>
    <xf numFmtId="0" fontId="68" fillId="32" borderId="0" xfId="0" applyFont="1" applyFill="1" applyAlignment="1">
      <alignment horizontal="left"/>
    </xf>
    <xf numFmtId="168" fontId="68" fillId="33" borderId="0" xfId="0" applyNumberFormat="1" applyFont="1" applyFill="1" applyAlignment="1">
      <alignment/>
    </xf>
    <xf numFmtId="183" fontId="68" fillId="33" borderId="0" xfId="0" applyNumberFormat="1" applyFont="1" applyFill="1" applyAlignment="1">
      <alignment/>
    </xf>
    <xf numFmtId="176" fontId="68" fillId="33" borderId="0" xfId="0" applyNumberFormat="1" applyFont="1" applyFill="1" applyAlignment="1">
      <alignment/>
    </xf>
    <xf numFmtId="165" fontId="68" fillId="33" borderId="0" xfId="49" applyFont="1" applyFill="1" applyAlignment="1">
      <alignment/>
    </xf>
    <xf numFmtId="0" fontId="87" fillId="33" borderId="0" xfId="0" applyNumberFormat="1" applyFont="1" applyFill="1" applyAlignment="1">
      <alignment horizontal="center"/>
    </xf>
    <xf numFmtId="0" fontId="9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1" fillId="33" borderId="0" xfId="0" applyNumberFormat="1" applyFont="1" applyFill="1" applyAlignment="1">
      <alignment horizontal="center" vertical="center"/>
    </xf>
    <xf numFmtId="177" fontId="92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3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189" fontId="81" fillId="33" borderId="0" xfId="0" applyNumberFormat="1" applyFont="1" applyFill="1" applyAlignment="1">
      <alignment/>
    </xf>
    <xf numFmtId="0" fontId="81" fillId="32" borderId="0" xfId="0" applyFont="1" applyFill="1" applyAlignment="1">
      <alignment/>
    </xf>
    <xf numFmtId="182" fontId="81" fillId="33" borderId="0" xfId="0" applyNumberFormat="1" applyFont="1" applyFill="1" applyAlignment="1">
      <alignment/>
    </xf>
    <xf numFmtId="181" fontId="81" fillId="33" borderId="0" xfId="0" applyNumberFormat="1" applyFont="1" applyFill="1" applyAlignment="1">
      <alignment/>
    </xf>
    <xf numFmtId="184" fontId="86" fillId="32" borderId="0" xfId="0" applyNumberFormat="1" applyFont="1" applyFill="1" applyBorder="1" applyAlignment="1">
      <alignment horizontal="right" indent="3" readingOrder="1"/>
    </xf>
    <xf numFmtId="0" fontId="94" fillId="32" borderId="0" xfId="0" applyFont="1" applyFill="1" applyBorder="1" applyAlignment="1">
      <alignment horizontal="left" vertical="center" wrapText="1" readingOrder="1"/>
    </xf>
    <xf numFmtId="169" fontId="94" fillId="32" borderId="0" xfId="0" applyNumberFormat="1" applyFont="1" applyFill="1" applyBorder="1" applyAlignment="1">
      <alignment horizontal="left" vertical="center" wrapText="1" readingOrder="1"/>
    </xf>
    <xf numFmtId="188" fontId="94" fillId="32" borderId="0" xfId="0" applyNumberFormat="1" applyFont="1" applyFill="1" applyBorder="1" applyAlignment="1">
      <alignment horizontal="left" vertical="center" wrapText="1" readingOrder="1"/>
    </xf>
    <xf numFmtId="188" fontId="81" fillId="32" borderId="0" xfId="0" applyNumberFormat="1" applyFont="1" applyFill="1" applyAlignment="1">
      <alignment/>
    </xf>
    <xf numFmtId="180" fontId="81" fillId="32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68" fontId="81" fillId="33" borderId="0" xfId="0" applyNumberFormat="1" applyFont="1" applyFill="1" applyAlignment="1">
      <alignment/>
    </xf>
    <xf numFmtId="184" fontId="81" fillId="33" borderId="0" xfId="0" applyNumberFormat="1" applyFont="1" applyFill="1" applyAlignment="1">
      <alignment/>
    </xf>
    <xf numFmtId="188" fontId="81" fillId="33" borderId="0" xfId="0" applyNumberFormat="1" applyFont="1" applyFill="1" applyAlignment="1">
      <alignment/>
    </xf>
    <xf numFmtId="199" fontId="81" fillId="33" borderId="0" xfId="0" applyNumberFormat="1" applyFont="1" applyFill="1" applyAlignment="1">
      <alignment/>
    </xf>
    <xf numFmtId="0" fontId="95" fillId="33" borderId="0" xfId="0" applyFont="1" applyFill="1" applyAlignment="1">
      <alignment vertical="center"/>
    </xf>
    <xf numFmtId="185" fontId="86" fillId="33" borderId="0" xfId="49" applyNumberFormat="1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86" fillId="33" borderId="0" xfId="0" applyFont="1" applyFill="1" applyAlignment="1">
      <alignment/>
    </xf>
    <xf numFmtId="185" fontId="86" fillId="33" borderId="0" xfId="0" applyNumberFormat="1" applyFont="1" applyFill="1" applyAlignment="1">
      <alignment/>
    </xf>
    <xf numFmtId="202" fontId="86" fillId="33" borderId="0" xfId="0" applyNumberFormat="1" applyFont="1" applyFill="1" applyAlignment="1">
      <alignment/>
    </xf>
    <xf numFmtId="193" fontId="86" fillId="33" borderId="0" xfId="0" applyNumberFormat="1" applyFont="1" applyFill="1" applyAlignment="1">
      <alignment/>
    </xf>
    <xf numFmtId="180" fontId="86" fillId="33" borderId="0" xfId="0" applyNumberFormat="1" applyFont="1" applyFill="1" applyAlignment="1">
      <alignment/>
    </xf>
    <xf numFmtId="194" fontId="86" fillId="33" borderId="0" xfId="0" applyNumberFormat="1" applyFont="1" applyFill="1" applyAlignment="1">
      <alignment/>
    </xf>
    <xf numFmtId="38" fontId="86" fillId="33" borderId="0" xfId="0" applyNumberFormat="1" applyFont="1" applyFill="1" applyAlignment="1">
      <alignment/>
    </xf>
    <xf numFmtId="186" fontId="86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168" fontId="97" fillId="33" borderId="0" xfId="0" applyNumberFormat="1" applyFont="1" applyFill="1" applyAlignment="1">
      <alignment/>
    </xf>
    <xf numFmtId="0" fontId="98" fillId="33" borderId="0" xfId="0" applyFont="1" applyFill="1" applyAlignment="1">
      <alignment vertical="center"/>
    </xf>
    <xf numFmtId="191" fontId="94" fillId="33" borderId="0" xfId="0" applyNumberFormat="1" applyFont="1" applyFill="1" applyAlignment="1">
      <alignment horizontal="center"/>
    </xf>
    <xf numFmtId="1" fontId="94" fillId="33" borderId="0" xfId="0" applyNumberFormat="1" applyFont="1" applyFill="1" applyAlignment="1">
      <alignment horizontal="center"/>
    </xf>
    <xf numFmtId="182" fontId="94" fillId="33" borderId="0" xfId="0" applyNumberFormat="1" applyFont="1" applyFill="1" applyAlignment="1">
      <alignment horizontal="center"/>
    </xf>
    <xf numFmtId="187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/>
    </xf>
    <xf numFmtId="181" fontId="94" fillId="33" borderId="0" xfId="0" applyNumberFormat="1" applyFont="1" applyFill="1" applyAlignment="1">
      <alignment horizontal="center"/>
    </xf>
    <xf numFmtId="184" fontId="94" fillId="33" borderId="0" xfId="0" applyNumberFormat="1" applyFont="1" applyFill="1" applyAlignment="1">
      <alignment horizontal="center"/>
    </xf>
    <xf numFmtId="0" fontId="86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right" indent="4"/>
    </xf>
    <xf numFmtId="168" fontId="86" fillId="33" borderId="0" xfId="0" applyNumberFormat="1" applyFont="1" applyFill="1" applyAlignment="1">
      <alignment horizontal="center"/>
    </xf>
    <xf numFmtId="181" fontId="86" fillId="33" borderId="0" xfId="0" applyNumberFormat="1" applyFont="1" applyFill="1" applyAlignment="1">
      <alignment horizontal="center"/>
    </xf>
    <xf numFmtId="182" fontId="86" fillId="33" borderId="0" xfId="49" applyNumberFormat="1" applyFont="1" applyFill="1" applyAlignment="1">
      <alignment horizontal="center"/>
    </xf>
    <xf numFmtId="187" fontId="86" fillId="33" borderId="0" xfId="0" applyNumberFormat="1" applyFont="1" applyFill="1" applyAlignment="1">
      <alignment horizontal="center"/>
    </xf>
    <xf numFmtId="180" fontId="86" fillId="33" borderId="0" xfId="0" applyNumberFormat="1" applyFont="1" applyFill="1" applyAlignment="1">
      <alignment horizontal="center"/>
    </xf>
    <xf numFmtId="168" fontId="86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1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1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1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1" fillId="33" borderId="0" xfId="49" applyNumberFormat="1" applyFont="1" applyFill="1" applyAlignment="1">
      <alignment/>
    </xf>
    <xf numFmtId="205" fontId="81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1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9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0" fontId="2" fillId="33" borderId="0" xfId="0" applyNumberFormat="1" applyFont="1" applyFill="1" applyAlignment="1">
      <alignment/>
    </xf>
    <xf numFmtId="192" fontId="2" fillId="32" borderId="0" xfId="0" applyNumberFormat="1" applyFont="1" applyFill="1" applyBorder="1" applyAlignment="1">
      <alignment vertical="center" readingOrder="1"/>
    </xf>
    <xf numFmtId="0" fontId="99" fillId="0" borderId="30" xfId="0" applyFont="1" applyBorder="1" applyAlignment="1">
      <alignment horizontal="left" indent="4"/>
    </xf>
    <xf numFmtId="203" fontId="6" fillId="33" borderId="0" xfId="0" applyNumberFormat="1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horizontal="right" vertical="center" indent="2"/>
    </xf>
    <xf numFmtId="0" fontId="100" fillId="0" borderId="0" xfId="46" applyFont="1" applyAlignment="1" applyProtection="1">
      <alignment horizontal="left" vertical="center"/>
      <protection/>
    </xf>
    <xf numFmtId="0" fontId="100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100" fillId="32" borderId="0" xfId="46" applyNumberFormat="1" applyFont="1" applyFill="1" applyAlignment="1" applyProtection="1">
      <alignment horizontal="left" vertical="center"/>
      <protection/>
    </xf>
    <xf numFmtId="0" fontId="100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101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0.9879179274023735</c:v>
                </c:pt>
                <c:pt idx="1">
                  <c:v>0.012082072597626487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0.6838457250842761</c:v>
                </c:pt>
                <c:pt idx="1">
                  <c:v>0.31615427491572395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Bonistas</c:v>
                </c:pt>
                <c:pt idx="2">
                  <c:v>Banco de la Nación</c:v>
                </c:pt>
                <c:pt idx="3">
                  <c:v>BBVA, Scotia y BCP Sindicado</c:v>
                </c:pt>
                <c:pt idx="4">
                  <c:v>Banco Internacional del Perú</c:v>
                </c:pt>
                <c:pt idx="5">
                  <c:v>Banco Interamericano de Desarrollo (BID)</c:v>
                </c:pt>
                <c:pt idx="6">
                  <c:v>Banco de Comercio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0.5730750810861011</c:v>
                </c:pt>
                <c:pt idx="1">
                  <c:v>0.3161542749171939</c:v>
                </c:pt>
                <c:pt idx="2">
                  <c:v>0.04631580696125355</c:v>
                </c:pt>
                <c:pt idx="3">
                  <c:v>0.03713106121568336</c:v>
                </c:pt>
                <c:pt idx="4">
                  <c:v>0.01453944363416493</c:v>
                </c:pt>
                <c:pt idx="5">
                  <c:v>0.012082072597658184</c:v>
                </c:pt>
                <c:pt idx="6">
                  <c:v>0.0006722197447991783</c:v>
                </c:pt>
                <c:pt idx="7">
                  <c:v>2.914828809044133E-05</c:v>
                </c:pt>
                <c:pt idx="8">
                  <c:v>8.915550552516891E-07</c:v>
                </c:pt>
                <c:pt idx="9">
                  <c:v>0.9999999999999997</c:v>
                </c:pt>
              </c:numCache>
            </c:numRef>
          </c:val>
        </c:ser>
        <c:gapWidth val="100"/>
        <c:axId val="29518054"/>
        <c:axId val="64335895"/>
      </c:barChart>
      <c:catAx>
        <c:axId val="29518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0.3695740132087631</c:v>
                </c:pt>
                <c:pt idx="1">
                  <c:v>0.6196341318371277</c:v>
                </c:pt>
                <c:pt idx="2">
                  <c:v>0.0107918549541093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0.8194526632673035</c:v>
                </c:pt>
                <c:pt idx="1">
                  <c:v>0.1673205616154062</c:v>
                </c:pt>
                <c:pt idx="2">
                  <c:v>0.003836485156799424</c:v>
                </c:pt>
                <c:pt idx="3">
                  <c:v>0.009390289960490858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"/>
          <c:y val="0.098"/>
          <c:w val="0.48125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0.9688682654663047</c:v>
                </c:pt>
                <c:pt idx="1">
                  <c:v>0.031131734533695297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114"/>
          <c:w val="0.7005"/>
          <c:h val="0.844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[PORCENTAJE]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Resumen!$B$28:$B$31</c:f>
              <c:strCache>
                <c:ptCount val="4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  <c:pt idx="3">
                  <c:v>Bonistas</c:v>
                </c:pt>
              </c:strCache>
            </c:strRef>
          </c:cat>
          <c:val>
            <c:numRef>
              <c:f>Resumen!$E$28:$E$31</c:f>
              <c:numCache>
                <c:ptCount val="4"/>
                <c:pt idx="0">
                  <c:v>0.5730750810847713</c:v>
                </c:pt>
                <c:pt idx="1">
                  <c:v>0.09868857140249974</c:v>
                </c:pt>
                <c:pt idx="2">
                  <c:v>0.012082072596975154</c:v>
                </c:pt>
                <c:pt idx="3">
                  <c:v>0.31615427491575376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Resumen!$H$39:$H$53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Resumen!$I$39:$I$53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1014.1072922000001</c:v>
                </c:pt>
              </c:numCache>
            </c:numRef>
          </c:val>
        </c:ser>
        <c:overlap val="-25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delete val="1"/>
        <c:majorTickMark val="out"/>
        <c:minorTickMark val="none"/>
        <c:tickLblPos val="nextTo"/>
        <c:crossAx val="4215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 val="autoZero"/>
        <c:auto val="1"/>
        <c:lblOffset val="100"/>
        <c:tickLblSkip val="2"/>
        <c:tickMarkSkip val="2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"/>
          <c:w val="0.2045"/>
          <c:h val="0.241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33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2" t="s">
        <v>243</v>
      </c>
      <c r="C6" s="502"/>
      <c r="D6" s="502"/>
      <c r="E6" s="502"/>
      <c r="F6" s="502"/>
      <c r="G6" s="502"/>
      <c r="H6" s="502"/>
      <c r="I6" s="502"/>
      <c r="J6" s="502"/>
      <c r="K6" s="115"/>
      <c r="L6" s="115"/>
    </row>
    <row r="7" spans="2:12" ht="24.75" customHeight="1">
      <c r="B7" s="503" t="s">
        <v>387</v>
      </c>
      <c r="C7" s="503"/>
      <c r="D7" s="503"/>
      <c r="E7" s="503"/>
      <c r="F7" s="503"/>
      <c r="G7" s="503"/>
      <c r="H7" s="503"/>
      <c r="I7" s="503"/>
      <c r="J7" s="503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1" t="s">
        <v>52</v>
      </c>
      <c r="E9" s="501"/>
      <c r="F9" s="501"/>
      <c r="G9" s="501"/>
      <c r="H9" s="501"/>
      <c r="I9" s="501"/>
      <c r="J9" s="501"/>
      <c r="K9" s="115"/>
      <c r="L9" s="115"/>
    </row>
    <row r="10" spans="2:12" ht="19.5" customHeight="1">
      <c r="B10" s="115"/>
      <c r="C10" s="80"/>
      <c r="D10" s="500" t="s">
        <v>168</v>
      </c>
      <c r="E10" s="500"/>
      <c r="F10" s="500"/>
      <c r="G10" s="500"/>
      <c r="H10" s="500"/>
      <c r="I10" s="500"/>
      <c r="J10" s="500"/>
      <c r="K10" s="115"/>
      <c r="L10" s="115"/>
    </row>
    <row r="11" spans="2:10" ht="19.5" customHeight="1">
      <c r="B11" s="115"/>
      <c r="C11" s="80"/>
      <c r="D11" s="501" t="s">
        <v>169</v>
      </c>
      <c r="E11" s="501"/>
      <c r="F11" s="501"/>
      <c r="G11" s="501"/>
      <c r="H11" s="501"/>
      <c r="I11" s="501"/>
      <c r="J11" s="501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5" t="s">
        <v>122</v>
      </c>
      <c r="E13" s="505"/>
      <c r="F13" s="505"/>
      <c r="G13" s="505"/>
      <c r="H13" s="505"/>
      <c r="I13" s="505"/>
      <c r="J13" s="505"/>
      <c r="K13" s="453"/>
    </row>
    <row r="14" spans="2:11" ht="19.5" customHeight="1">
      <c r="B14" s="3" t="s">
        <v>18</v>
      </c>
      <c r="C14" s="3" t="s">
        <v>1</v>
      </c>
      <c r="D14" s="500" t="s">
        <v>79</v>
      </c>
      <c r="E14" s="500"/>
      <c r="F14" s="500"/>
      <c r="G14" s="500"/>
      <c r="H14" s="500"/>
      <c r="I14" s="500"/>
      <c r="J14" s="500"/>
      <c r="K14" s="453"/>
    </row>
    <row r="15" spans="2:11" ht="19.5" customHeight="1">
      <c r="B15" s="3" t="s">
        <v>19</v>
      </c>
      <c r="C15" s="3" t="s">
        <v>1</v>
      </c>
      <c r="D15" s="504" t="s">
        <v>54</v>
      </c>
      <c r="E15" s="504"/>
      <c r="F15" s="504"/>
      <c r="G15" s="504"/>
      <c r="H15" s="504"/>
      <c r="I15" s="504"/>
      <c r="J15" s="504"/>
      <c r="K15" s="453"/>
    </row>
    <row r="16" spans="2:11" ht="19.5" customHeight="1">
      <c r="B16" s="3" t="s">
        <v>20</v>
      </c>
      <c r="C16" s="3" t="s">
        <v>1</v>
      </c>
      <c r="D16" s="501" t="s">
        <v>100</v>
      </c>
      <c r="E16" s="501"/>
      <c r="F16" s="501"/>
      <c r="G16" s="501"/>
      <c r="H16" s="501"/>
      <c r="I16" s="501"/>
      <c r="J16" s="501"/>
      <c r="K16" s="453"/>
    </row>
    <row r="17" spans="2:11" ht="19.5" customHeight="1">
      <c r="B17" s="3" t="s">
        <v>21</v>
      </c>
      <c r="C17" s="3" t="s">
        <v>1</v>
      </c>
      <c r="D17" s="501" t="s">
        <v>84</v>
      </c>
      <c r="E17" s="501"/>
      <c r="F17" s="501"/>
      <c r="G17" s="501"/>
      <c r="H17" s="501"/>
      <c r="I17" s="501"/>
      <c r="J17" s="501"/>
      <c r="K17" s="453"/>
    </row>
    <row r="18" spans="2:11" ht="19.5" customHeight="1">
      <c r="B18" s="3" t="s">
        <v>22</v>
      </c>
      <c r="C18" s="3" t="s">
        <v>1</v>
      </c>
      <c r="D18" s="501" t="s">
        <v>99</v>
      </c>
      <c r="E18" s="501"/>
      <c r="F18" s="501"/>
      <c r="G18" s="501"/>
      <c r="H18" s="501"/>
      <c r="I18" s="501"/>
      <c r="J18" s="501"/>
      <c r="K18" s="453"/>
    </row>
    <row r="19" spans="2:11" ht="19.5" customHeight="1">
      <c r="B19" s="3" t="s">
        <v>98</v>
      </c>
      <c r="C19" s="3" t="s">
        <v>1</v>
      </c>
      <c r="D19" s="501" t="s">
        <v>427</v>
      </c>
      <c r="E19" s="501"/>
      <c r="F19" s="501"/>
      <c r="G19" s="501"/>
      <c r="H19" s="501"/>
      <c r="I19" s="501"/>
      <c r="J19" s="501"/>
      <c r="K19" s="501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310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248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99</v>
      </c>
      <c r="C8" s="136"/>
      <c r="D8" s="136"/>
    </row>
    <row r="9" spans="2:5" ht="15" customHeight="1">
      <c r="B9" s="329" t="str">
        <f>+'DGRGL-C1'!B9</f>
        <v>Al 31 de diciembre de 2023</v>
      </c>
      <c r="C9" s="329"/>
      <c r="D9" s="274"/>
      <c r="E9" s="315">
        <f>+Portada!I34</f>
        <v>3.713</v>
      </c>
    </row>
    <row r="10" spans="2:4" ht="7.5" customHeight="1">
      <c r="B10" s="275"/>
      <c r="C10" s="275"/>
      <c r="D10" s="275"/>
    </row>
    <row r="11" spans="2:4" ht="12" customHeight="1">
      <c r="B11" s="578" t="s">
        <v>95</v>
      </c>
      <c r="C11" s="571" t="s">
        <v>53</v>
      </c>
      <c r="D11" s="574" t="s">
        <v>131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109</v>
      </c>
      <c r="C15" s="95">
        <f>SUM(C17:C33)</f>
        <v>379371.29331000004</v>
      </c>
      <c r="D15" s="95">
        <f>SUM(D17:D33)</f>
        <v>1408605.6120499996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5" t="s">
        <v>210</v>
      </c>
      <c r="C17" s="357">
        <v>95445.21287999999</v>
      </c>
      <c r="D17" s="357">
        <f aca="true" t="shared" si="0" ref="D17:D33">ROUND(+C17*$E$9,5)</f>
        <v>354388.07542</v>
      </c>
      <c r="E17" s="193"/>
    </row>
    <row r="18" spans="2:5" ht="15.75" customHeight="1">
      <c r="B18" s="395" t="s">
        <v>96</v>
      </c>
      <c r="C18" s="357">
        <v>85867.0034</v>
      </c>
      <c r="D18" s="357">
        <f t="shared" si="0"/>
        <v>318824.18362</v>
      </c>
      <c r="E18" s="193"/>
    </row>
    <row r="19" spans="2:5" ht="15.75" customHeight="1">
      <c r="B19" s="395" t="s">
        <v>250</v>
      </c>
      <c r="C19" s="357">
        <v>49643.79511</v>
      </c>
      <c r="D19" s="357">
        <f t="shared" si="0"/>
        <v>184327.41124</v>
      </c>
      <c r="E19" s="193"/>
    </row>
    <row r="20" spans="2:5" ht="15.75" customHeight="1">
      <c r="B20" s="395" t="s">
        <v>231</v>
      </c>
      <c r="C20" s="357">
        <v>37333.46079999999</v>
      </c>
      <c r="D20" s="357">
        <f t="shared" si="0"/>
        <v>138619.13995</v>
      </c>
      <c r="E20" s="193"/>
    </row>
    <row r="21" spans="2:5" ht="15.75" customHeight="1">
      <c r="B21" s="395" t="s">
        <v>211</v>
      </c>
      <c r="C21" s="357">
        <v>35179.726</v>
      </c>
      <c r="D21" s="357">
        <f t="shared" si="0"/>
        <v>130622.32264</v>
      </c>
      <c r="E21" s="193"/>
    </row>
    <row r="22" spans="2:5" ht="15.75" customHeight="1">
      <c r="B22" s="395" t="s">
        <v>218</v>
      </c>
      <c r="C22" s="357">
        <v>14718.70958</v>
      </c>
      <c r="D22" s="357">
        <f t="shared" si="0"/>
        <v>54650.56867</v>
      </c>
      <c r="E22" s="193"/>
    </row>
    <row r="23" spans="2:5" ht="15.75" customHeight="1">
      <c r="B23" s="395" t="s">
        <v>176</v>
      </c>
      <c r="C23" s="357">
        <v>11860.64942</v>
      </c>
      <c r="D23" s="357">
        <f t="shared" si="0"/>
        <v>44038.5913</v>
      </c>
      <c r="E23" s="193"/>
    </row>
    <row r="24" spans="2:5" ht="15.75" customHeight="1">
      <c r="B24" s="395" t="s">
        <v>267</v>
      </c>
      <c r="C24" s="357">
        <v>9945.787</v>
      </c>
      <c r="D24" s="357">
        <f t="shared" si="0"/>
        <v>36928.70713</v>
      </c>
      <c r="E24" s="193"/>
    </row>
    <row r="25" spans="2:5" ht="15.75" customHeight="1">
      <c r="B25" s="395" t="s">
        <v>216</v>
      </c>
      <c r="C25" s="357">
        <v>9638.42914</v>
      </c>
      <c r="D25" s="357">
        <f>ROUND(+C25*$E$9,5)</f>
        <v>35787.4874</v>
      </c>
      <c r="E25" s="193"/>
    </row>
    <row r="26" spans="2:5" ht="15.75" customHeight="1">
      <c r="B26" s="468" t="s">
        <v>251</v>
      </c>
      <c r="C26" s="357">
        <v>8564.31796</v>
      </c>
      <c r="D26" s="357">
        <f>ROUND(+C26*$E$9,5)</f>
        <v>31799.31259</v>
      </c>
      <c r="E26" s="193"/>
    </row>
    <row r="27" spans="2:5" ht="15.75" customHeight="1">
      <c r="B27" s="395" t="s">
        <v>240</v>
      </c>
      <c r="C27" s="357">
        <v>7497.70449</v>
      </c>
      <c r="D27" s="357">
        <f>ROUND(+C27*$E$9,5)</f>
        <v>27838.97677</v>
      </c>
      <c r="E27" s="193"/>
    </row>
    <row r="28" spans="2:5" ht="15.75" customHeight="1">
      <c r="B28" s="395" t="s">
        <v>233</v>
      </c>
      <c r="C28" s="357">
        <v>4521.1923</v>
      </c>
      <c r="D28" s="357">
        <f>ROUND(+C28*$E$9,5)</f>
        <v>16787.18701</v>
      </c>
      <c r="E28" s="193"/>
    </row>
    <row r="29" spans="2:5" ht="15.75" customHeight="1">
      <c r="B29" s="395" t="s">
        <v>212</v>
      </c>
      <c r="C29" s="357">
        <v>4302.161929999999</v>
      </c>
      <c r="D29" s="357">
        <f>ROUND(+C29*$E$9,5)</f>
        <v>15973.92725</v>
      </c>
      <c r="E29" s="193"/>
    </row>
    <row r="30" spans="2:5" ht="15.75" customHeight="1">
      <c r="B30" s="395" t="s">
        <v>232</v>
      </c>
      <c r="C30" s="357">
        <v>3508.78619</v>
      </c>
      <c r="D30" s="357">
        <f t="shared" si="0"/>
        <v>13028.12312</v>
      </c>
      <c r="E30" s="193"/>
    </row>
    <row r="31" spans="2:5" ht="15.75" customHeight="1">
      <c r="B31" s="395" t="s">
        <v>120</v>
      </c>
      <c r="C31" s="357">
        <v>1344.35672</v>
      </c>
      <c r="D31" s="357">
        <f t="shared" si="0"/>
        <v>4991.5965</v>
      </c>
      <c r="E31" s="193"/>
    </row>
    <row r="32" spans="2:5" ht="15.75" customHeight="1">
      <c r="B32" s="395" t="s">
        <v>286</v>
      </c>
      <c r="C32" s="357">
        <v>0.00037</v>
      </c>
      <c r="D32" s="357">
        <f t="shared" si="0"/>
        <v>0.00137</v>
      </c>
      <c r="E32" s="193"/>
    </row>
    <row r="33" spans="2:5" ht="15.75" customHeight="1">
      <c r="B33" s="395" t="s">
        <v>205</v>
      </c>
      <c r="C33" s="357">
        <v>2E-05</v>
      </c>
      <c r="D33" s="357">
        <f t="shared" si="0"/>
        <v>7E-05</v>
      </c>
      <c r="E33" s="193"/>
    </row>
    <row r="34" spans="2:5" ht="12" customHeight="1">
      <c r="B34" s="469"/>
      <c r="C34" s="358"/>
      <c r="D34" s="358"/>
      <c r="E34" s="193"/>
    </row>
    <row r="35" spans="2:5" ht="20.25" customHeight="1">
      <c r="B35" s="470" t="s">
        <v>110</v>
      </c>
      <c r="C35" s="95">
        <f>SUM(C37:C158)</f>
        <v>604103.3936399997</v>
      </c>
      <c r="D35" s="95">
        <f>SUM(D37:D158)</f>
        <v>2243035.900539998</v>
      </c>
      <c r="E35" s="193"/>
    </row>
    <row r="36" spans="2:5" ht="7.5" customHeight="1">
      <c r="B36" s="471"/>
      <c r="C36" s="95"/>
      <c r="D36" s="95"/>
      <c r="E36" s="193"/>
    </row>
    <row r="37" spans="2:5" ht="15.75" customHeight="1">
      <c r="B37" s="468" t="s">
        <v>166</v>
      </c>
      <c r="C37" s="357">
        <v>389978.05248</v>
      </c>
      <c r="D37" s="357">
        <f aca="true" t="shared" si="1" ref="D37:D100">ROUND(+C37*$E$9,5)</f>
        <v>1447988.50886</v>
      </c>
      <c r="E37" s="193"/>
    </row>
    <row r="38" spans="2:5" ht="15.75" customHeight="1">
      <c r="B38" s="468" t="s">
        <v>196</v>
      </c>
      <c r="C38" s="357">
        <v>12425.609380000002</v>
      </c>
      <c r="D38" s="357">
        <f t="shared" si="1"/>
        <v>46136.28763</v>
      </c>
      <c r="E38" s="193"/>
    </row>
    <row r="39" spans="2:5" ht="15.75" customHeight="1">
      <c r="B39" s="468" t="s">
        <v>282</v>
      </c>
      <c r="C39" s="357">
        <v>9635.77614</v>
      </c>
      <c r="D39" s="357">
        <f t="shared" si="1"/>
        <v>35777.63681</v>
      </c>
      <c r="E39" s="193"/>
    </row>
    <row r="40" spans="2:5" ht="15.75" customHeight="1">
      <c r="B40" s="468" t="s">
        <v>272</v>
      </c>
      <c r="C40" s="357">
        <v>8911.68486</v>
      </c>
      <c r="D40" s="357">
        <f t="shared" si="1"/>
        <v>33089.08589</v>
      </c>
      <c r="E40" s="193"/>
    </row>
    <row r="41" spans="2:5" ht="15.75" customHeight="1">
      <c r="B41" s="468" t="s">
        <v>368</v>
      </c>
      <c r="C41" s="357">
        <v>8571.286820000001</v>
      </c>
      <c r="D41" s="357">
        <f t="shared" si="1"/>
        <v>31825.18796</v>
      </c>
      <c r="E41" s="193"/>
    </row>
    <row r="42" spans="2:5" ht="15.75" customHeight="1">
      <c r="B42" s="468" t="s">
        <v>322</v>
      </c>
      <c r="C42" s="357">
        <v>8093.18138</v>
      </c>
      <c r="D42" s="357">
        <f t="shared" si="1"/>
        <v>30049.98246</v>
      </c>
      <c r="E42" s="193"/>
    </row>
    <row r="43" spans="2:5" ht="15.75" customHeight="1">
      <c r="B43" s="468" t="s">
        <v>217</v>
      </c>
      <c r="C43" s="357">
        <v>7520.675980000001</v>
      </c>
      <c r="D43" s="357">
        <f t="shared" si="1"/>
        <v>27924.26991</v>
      </c>
      <c r="E43" s="193"/>
    </row>
    <row r="44" spans="2:5" ht="15.75" customHeight="1">
      <c r="B44" s="468" t="s">
        <v>294</v>
      </c>
      <c r="C44" s="357">
        <v>7144.35802</v>
      </c>
      <c r="D44" s="357">
        <f t="shared" si="1"/>
        <v>26527.00133</v>
      </c>
      <c r="E44" s="193"/>
    </row>
    <row r="45" spans="2:5" ht="15.75" customHeight="1">
      <c r="B45" s="468" t="s">
        <v>293</v>
      </c>
      <c r="C45" s="357">
        <v>6490.35792</v>
      </c>
      <c r="D45" s="357">
        <f t="shared" si="1"/>
        <v>24098.69896</v>
      </c>
      <c r="E45" s="193"/>
    </row>
    <row r="46" spans="2:5" ht="15.75" customHeight="1">
      <c r="B46" s="468" t="s">
        <v>264</v>
      </c>
      <c r="C46" s="357">
        <v>5779.4420199999995</v>
      </c>
      <c r="D46" s="357">
        <f t="shared" si="1"/>
        <v>21459.06822</v>
      </c>
      <c r="E46" s="193"/>
    </row>
    <row r="47" spans="2:5" ht="15.75" customHeight="1">
      <c r="B47" s="468" t="s">
        <v>283</v>
      </c>
      <c r="C47" s="357">
        <v>5260.35401</v>
      </c>
      <c r="D47" s="357">
        <f t="shared" si="1"/>
        <v>19531.69444</v>
      </c>
      <c r="E47" s="193"/>
    </row>
    <row r="48" spans="2:5" ht="15.75" customHeight="1">
      <c r="B48" s="468" t="s">
        <v>301</v>
      </c>
      <c r="C48" s="357">
        <v>4967.85208</v>
      </c>
      <c r="D48" s="357">
        <f t="shared" si="1"/>
        <v>18445.63477</v>
      </c>
      <c r="E48" s="193"/>
    </row>
    <row r="49" spans="2:5" ht="15.75" customHeight="1">
      <c r="B49" s="468" t="s">
        <v>257</v>
      </c>
      <c r="C49" s="357">
        <v>4847.46096</v>
      </c>
      <c r="D49" s="357">
        <f t="shared" si="1"/>
        <v>17998.62254</v>
      </c>
      <c r="E49" s="193"/>
    </row>
    <row r="50" spans="2:5" ht="15.75" customHeight="1">
      <c r="B50" s="468" t="s">
        <v>389</v>
      </c>
      <c r="C50" s="357">
        <v>4828.90304</v>
      </c>
      <c r="D50" s="357">
        <f t="shared" si="1"/>
        <v>17929.71699</v>
      </c>
      <c r="E50" s="193"/>
    </row>
    <row r="51" spans="2:5" ht="15.75" customHeight="1">
      <c r="B51" s="468" t="s">
        <v>296</v>
      </c>
      <c r="C51" s="357">
        <v>4204.80853</v>
      </c>
      <c r="D51" s="357">
        <f t="shared" si="1"/>
        <v>15612.45407</v>
      </c>
      <c r="E51" s="193"/>
    </row>
    <row r="52" spans="2:5" ht="15.75" customHeight="1">
      <c r="B52" s="468" t="s">
        <v>186</v>
      </c>
      <c r="C52" s="357">
        <v>3612.67866</v>
      </c>
      <c r="D52" s="357">
        <f t="shared" si="1"/>
        <v>13413.87586</v>
      </c>
      <c r="E52" s="193"/>
    </row>
    <row r="53" spans="2:5" ht="15.75" customHeight="1">
      <c r="B53" s="468" t="s">
        <v>306</v>
      </c>
      <c r="C53" s="357">
        <v>3518.65184</v>
      </c>
      <c r="D53" s="357">
        <f t="shared" si="1"/>
        <v>13064.75428</v>
      </c>
      <c r="E53" s="193"/>
    </row>
    <row r="54" spans="2:5" ht="15.75" customHeight="1">
      <c r="B54" s="468" t="s">
        <v>259</v>
      </c>
      <c r="C54" s="357">
        <v>3489.11536</v>
      </c>
      <c r="D54" s="357">
        <f t="shared" si="1"/>
        <v>12955.08533</v>
      </c>
      <c r="E54" s="193"/>
    </row>
    <row r="55" spans="2:5" ht="15.75" customHeight="1">
      <c r="B55" s="468" t="s">
        <v>255</v>
      </c>
      <c r="C55" s="357">
        <v>3448.72169</v>
      </c>
      <c r="D55" s="357">
        <f t="shared" si="1"/>
        <v>12805.10363</v>
      </c>
      <c r="E55" s="193"/>
    </row>
    <row r="56" spans="2:5" ht="15.75" customHeight="1">
      <c r="B56" s="468" t="s">
        <v>179</v>
      </c>
      <c r="C56" s="357">
        <v>3378.2940099999996</v>
      </c>
      <c r="D56" s="357">
        <f t="shared" si="1"/>
        <v>12543.60566</v>
      </c>
      <c r="E56" s="193"/>
    </row>
    <row r="57" spans="2:5" ht="15.75" customHeight="1">
      <c r="B57" s="468" t="s">
        <v>297</v>
      </c>
      <c r="C57" s="357">
        <v>3249.8076800000003</v>
      </c>
      <c r="D57" s="357">
        <f t="shared" si="1"/>
        <v>12066.53592</v>
      </c>
      <c r="E57" s="193"/>
    </row>
    <row r="58" spans="2:5" ht="15.75" customHeight="1">
      <c r="B58" s="468" t="s">
        <v>204</v>
      </c>
      <c r="C58" s="357">
        <v>3042.9223199999997</v>
      </c>
      <c r="D58" s="357">
        <f t="shared" si="1"/>
        <v>11298.37057</v>
      </c>
      <c r="E58" s="193"/>
    </row>
    <row r="59" spans="2:5" ht="15.75" customHeight="1">
      <c r="B59" s="468" t="s">
        <v>369</v>
      </c>
      <c r="C59" s="357">
        <v>2936.90515</v>
      </c>
      <c r="D59" s="357">
        <f t="shared" si="1"/>
        <v>10904.72882</v>
      </c>
      <c r="E59" s="193"/>
    </row>
    <row r="60" spans="2:5" ht="15.75" customHeight="1">
      <c r="B60" s="468" t="s">
        <v>234</v>
      </c>
      <c r="C60" s="357">
        <v>2776.80285</v>
      </c>
      <c r="D60" s="357">
        <f t="shared" si="1"/>
        <v>10310.26898</v>
      </c>
      <c r="E60" s="193"/>
    </row>
    <row r="61" spans="2:5" ht="15.75" customHeight="1">
      <c r="B61" s="468" t="s">
        <v>308</v>
      </c>
      <c r="C61" s="357">
        <v>2739.5875</v>
      </c>
      <c r="D61" s="357">
        <f t="shared" si="1"/>
        <v>10172.08839</v>
      </c>
      <c r="E61" s="193"/>
    </row>
    <row r="62" spans="2:5" ht="15.75" customHeight="1">
      <c r="B62" s="468" t="s">
        <v>181</v>
      </c>
      <c r="C62" s="357">
        <v>2734.02075</v>
      </c>
      <c r="D62" s="357">
        <f t="shared" si="1"/>
        <v>10151.41904</v>
      </c>
      <c r="E62" s="193"/>
    </row>
    <row r="63" spans="2:5" ht="15.75" customHeight="1">
      <c r="B63" s="468" t="s">
        <v>183</v>
      </c>
      <c r="C63" s="357">
        <v>2715.46758</v>
      </c>
      <c r="D63" s="357">
        <f t="shared" si="1"/>
        <v>10082.53112</v>
      </c>
      <c r="E63" s="193"/>
    </row>
    <row r="64" spans="2:5" ht="15.75" customHeight="1">
      <c r="B64" s="468" t="s">
        <v>340</v>
      </c>
      <c r="C64" s="357">
        <v>2579.38215</v>
      </c>
      <c r="D64" s="357">
        <f t="shared" si="1"/>
        <v>9577.24592</v>
      </c>
      <c r="E64" s="193"/>
    </row>
    <row r="65" spans="2:5" ht="15.75" customHeight="1">
      <c r="B65" s="468" t="s">
        <v>279</v>
      </c>
      <c r="C65" s="357">
        <v>2335.5152799999996</v>
      </c>
      <c r="D65" s="357">
        <f t="shared" si="1"/>
        <v>8671.76823</v>
      </c>
      <c r="E65" s="193"/>
    </row>
    <row r="66" spans="2:5" ht="15.75" customHeight="1">
      <c r="B66" s="468" t="s">
        <v>288</v>
      </c>
      <c r="C66" s="357">
        <v>2193.04196</v>
      </c>
      <c r="D66" s="357">
        <f t="shared" si="1"/>
        <v>8142.7648</v>
      </c>
      <c r="E66" s="193"/>
    </row>
    <row r="67" spans="2:5" ht="15.75" customHeight="1">
      <c r="B67" s="468" t="s">
        <v>178</v>
      </c>
      <c r="C67" s="357">
        <v>2051.52401</v>
      </c>
      <c r="D67" s="357">
        <f t="shared" si="1"/>
        <v>7617.30865</v>
      </c>
      <c r="E67" s="193"/>
    </row>
    <row r="68" spans="2:5" ht="15.75" customHeight="1">
      <c r="B68" s="468" t="s">
        <v>353</v>
      </c>
      <c r="C68" s="357">
        <v>2000.8965</v>
      </c>
      <c r="D68" s="357">
        <f t="shared" si="1"/>
        <v>7429.3287</v>
      </c>
      <c r="E68" s="193"/>
    </row>
    <row r="69" spans="2:5" ht="15.75" customHeight="1">
      <c r="B69" s="468" t="s">
        <v>323</v>
      </c>
      <c r="C69" s="357">
        <v>1954.31416</v>
      </c>
      <c r="D69" s="357">
        <f t="shared" si="1"/>
        <v>7256.36848</v>
      </c>
      <c r="E69" s="193"/>
    </row>
    <row r="70" spans="2:5" ht="15.75" customHeight="1">
      <c r="B70" s="468" t="s">
        <v>177</v>
      </c>
      <c r="C70" s="357">
        <v>1876.37731</v>
      </c>
      <c r="D70" s="357">
        <f t="shared" si="1"/>
        <v>6966.98895</v>
      </c>
      <c r="E70" s="193"/>
    </row>
    <row r="71" spans="2:5" ht="15.75" customHeight="1">
      <c r="B71" s="468" t="s">
        <v>262</v>
      </c>
      <c r="C71" s="357">
        <v>1806.08853</v>
      </c>
      <c r="D71" s="357">
        <f t="shared" si="1"/>
        <v>6706.00671</v>
      </c>
      <c r="E71" s="193"/>
    </row>
    <row r="72" spans="2:5" ht="15.75" customHeight="1">
      <c r="B72" s="468" t="s">
        <v>266</v>
      </c>
      <c r="C72" s="357">
        <v>1748.74034</v>
      </c>
      <c r="D72" s="357">
        <f t="shared" si="1"/>
        <v>6493.07288</v>
      </c>
      <c r="E72" s="193"/>
    </row>
    <row r="73" spans="2:5" ht="15.75" customHeight="1">
      <c r="B73" s="468" t="s">
        <v>182</v>
      </c>
      <c r="C73" s="357">
        <v>1731.97766</v>
      </c>
      <c r="D73" s="357">
        <f t="shared" si="1"/>
        <v>6430.83305</v>
      </c>
      <c r="E73" s="193"/>
    </row>
    <row r="74" spans="2:5" ht="15.75" customHeight="1">
      <c r="B74" s="468" t="s">
        <v>341</v>
      </c>
      <c r="C74" s="357">
        <v>1726.02775</v>
      </c>
      <c r="D74" s="357">
        <f t="shared" si="1"/>
        <v>6408.74104</v>
      </c>
      <c r="E74" s="193"/>
    </row>
    <row r="75" spans="2:5" ht="15.75" customHeight="1">
      <c r="B75" s="468" t="s">
        <v>310</v>
      </c>
      <c r="C75" s="357">
        <v>1618.8454</v>
      </c>
      <c r="D75" s="357">
        <f t="shared" si="1"/>
        <v>6010.77297</v>
      </c>
      <c r="E75" s="193"/>
    </row>
    <row r="76" spans="2:5" ht="15.75" customHeight="1">
      <c r="B76" s="468" t="s">
        <v>291</v>
      </c>
      <c r="C76" s="357">
        <v>1617.4673500000001</v>
      </c>
      <c r="D76" s="357">
        <f t="shared" si="1"/>
        <v>6005.65627</v>
      </c>
      <c r="E76" s="193"/>
    </row>
    <row r="77" spans="2:5" ht="15.75" customHeight="1">
      <c r="B77" s="468" t="s">
        <v>275</v>
      </c>
      <c r="C77" s="357">
        <v>1601.29402</v>
      </c>
      <c r="D77" s="357">
        <f t="shared" si="1"/>
        <v>5945.6047</v>
      </c>
      <c r="E77" s="193"/>
    </row>
    <row r="78" spans="2:5" ht="15.75" customHeight="1">
      <c r="B78" s="468" t="s">
        <v>295</v>
      </c>
      <c r="C78" s="357">
        <v>1545.1963500000002</v>
      </c>
      <c r="D78" s="357">
        <f t="shared" si="1"/>
        <v>5737.31405</v>
      </c>
      <c r="E78" s="193"/>
    </row>
    <row r="79" spans="2:5" ht="15.75" customHeight="1">
      <c r="B79" s="468" t="s">
        <v>303</v>
      </c>
      <c r="C79" s="357">
        <v>1487.75613</v>
      </c>
      <c r="D79" s="357">
        <f t="shared" si="1"/>
        <v>5524.03851</v>
      </c>
      <c r="E79" s="193"/>
    </row>
    <row r="80" spans="2:5" ht="15.75" customHeight="1">
      <c r="B80" s="468" t="s">
        <v>242</v>
      </c>
      <c r="C80" s="357">
        <v>1412.68427</v>
      </c>
      <c r="D80" s="357">
        <f t="shared" si="1"/>
        <v>5245.29669</v>
      </c>
      <c r="E80" s="193"/>
    </row>
    <row r="81" spans="2:5" ht="15.75" customHeight="1">
      <c r="B81" s="468" t="s">
        <v>324</v>
      </c>
      <c r="C81" s="357">
        <v>1411.3372</v>
      </c>
      <c r="D81" s="357">
        <f t="shared" si="1"/>
        <v>5240.29502</v>
      </c>
      <c r="E81" s="193"/>
    </row>
    <row r="82" spans="2:5" ht="15.75" customHeight="1">
      <c r="B82" s="468" t="s">
        <v>287</v>
      </c>
      <c r="C82" s="357">
        <v>1383.7623</v>
      </c>
      <c r="D82" s="357">
        <f t="shared" si="1"/>
        <v>5137.90942</v>
      </c>
      <c r="E82" s="193"/>
    </row>
    <row r="83" spans="2:5" ht="15.75" customHeight="1">
      <c r="B83" s="468" t="s">
        <v>342</v>
      </c>
      <c r="C83" s="357">
        <v>1363.56158</v>
      </c>
      <c r="D83" s="357">
        <f t="shared" si="1"/>
        <v>5062.90415</v>
      </c>
      <c r="E83" s="193"/>
    </row>
    <row r="84" spans="2:5" ht="15.75" customHeight="1">
      <c r="B84" s="468" t="s">
        <v>265</v>
      </c>
      <c r="C84" s="357">
        <v>1312.12533</v>
      </c>
      <c r="D84" s="357">
        <f t="shared" si="1"/>
        <v>4871.92135</v>
      </c>
      <c r="E84" s="193"/>
    </row>
    <row r="85" spans="2:5" ht="15.75" customHeight="1">
      <c r="B85" s="468" t="s">
        <v>309</v>
      </c>
      <c r="C85" s="357">
        <v>1308.40235</v>
      </c>
      <c r="D85" s="357">
        <f t="shared" si="1"/>
        <v>4858.09793</v>
      </c>
      <c r="E85" s="193"/>
    </row>
    <row r="86" spans="2:5" ht="15.75" customHeight="1">
      <c r="B86" s="468" t="s">
        <v>263</v>
      </c>
      <c r="C86" s="357">
        <v>1244.8111999999999</v>
      </c>
      <c r="D86" s="357">
        <f t="shared" si="1"/>
        <v>4621.98399</v>
      </c>
      <c r="E86" s="193"/>
    </row>
    <row r="87" spans="2:5" ht="15.75" customHeight="1">
      <c r="B87" s="468" t="s">
        <v>289</v>
      </c>
      <c r="C87" s="357">
        <v>1233.59159</v>
      </c>
      <c r="D87" s="357">
        <f t="shared" si="1"/>
        <v>4580.32557</v>
      </c>
      <c r="E87" s="193"/>
    </row>
    <row r="88" spans="2:5" ht="15.75" customHeight="1">
      <c r="B88" s="468" t="s">
        <v>193</v>
      </c>
      <c r="C88" s="357">
        <v>1207.5606200000002</v>
      </c>
      <c r="D88" s="357">
        <f t="shared" si="1"/>
        <v>4483.67258</v>
      </c>
      <c r="E88" s="193"/>
    </row>
    <row r="89" spans="2:5" ht="15.75" customHeight="1">
      <c r="B89" s="468" t="s">
        <v>302</v>
      </c>
      <c r="C89" s="357">
        <v>1198.87556</v>
      </c>
      <c r="D89" s="357">
        <f t="shared" si="1"/>
        <v>4451.42495</v>
      </c>
      <c r="E89" s="193"/>
    </row>
    <row r="90" spans="2:5" ht="15.75" customHeight="1">
      <c r="B90" s="468" t="s">
        <v>390</v>
      </c>
      <c r="C90" s="357">
        <v>1197.4456100000002</v>
      </c>
      <c r="D90" s="357">
        <f t="shared" si="1"/>
        <v>4446.11555</v>
      </c>
      <c r="E90" s="193"/>
    </row>
    <row r="91" spans="2:5" ht="15.75" customHeight="1">
      <c r="B91" s="468" t="s">
        <v>187</v>
      </c>
      <c r="C91" s="357">
        <v>1180.32556</v>
      </c>
      <c r="D91" s="357">
        <f t="shared" si="1"/>
        <v>4382.5488</v>
      </c>
      <c r="E91" s="193"/>
    </row>
    <row r="92" spans="2:5" ht="15.75" customHeight="1">
      <c r="B92" s="468" t="s">
        <v>278</v>
      </c>
      <c r="C92" s="357">
        <v>1140.2957900000001</v>
      </c>
      <c r="D92" s="357">
        <f t="shared" si="1"/>
        <v>4233.91827</v>
      </c>
      <c r="E92" s="193"/>
    </row>
    <row r="93" spans="2:5" ht="15.75" customHeight="1">
      <c r="B93" s="468" t="s">
        <v>378</v>
      </c>
      <c r="C93" s="357">
        <v>1112.45317</v>
      </c>
      <c r="D93" s="357">
        <f t="shared" si="1"/>
        <v>4130.53862</v>
      </c>
      <c r="E93" s="193"/>
    </row>
    <row r="94" spans="2:5" ht="15.75" customHeight="1">
      <c r="B94" s="468" t="s">
        <v>325</v>
      </c>
      <c r="C94" s="357">
        <v>1109.62095</v>
      </c>
      <c r="D94" s="357">
        <f t="shared" si="1"/>
        <v>4120.02259</v>
      </c>
      <c r="E94" s="193"/>
    </row>
    <row r="95" spans="2:5" ht="15.75" customHeight="1">
      <c r="B95" s="468" t="s">
        <v>391</v>
      </c>
      <c r="C95" s="357">
        <v>1062.31044</v>
      </c>
      <c r="D95" s="357">
        <f t="shared" si="1"/>
        <v>3944.35866</v>
      </c>
      <c r="E95" s="193"/>
    </row>
    <row r="96" spans="2:5" ht="15.75" customHeight="1">
      <c r="B96" s="468" t="s">
        <v>277</v>
      </c>
      <c r="C96" s="357">
        <v>1015.4040200000001</v>
      </c>
      <c r="D96" s="357">
        <f t="shared" si="1"/>
        <v>3770.19513</v>
      </c>
      <c r="E96" s="193"/>
    </row>
    <row r="97" spans="2:5" ht="15.75" customHeight="1">
      <c r="B97" s="468" t="s">
        <v>284</v>
      </c>
      <c r="C97" s="357">
        <v>977.84603</v>
      </c>
      <c r="D97" s="357">
        <f t="shared" si="1"/>
        <v>3630.74231</v>
      </c>
      <c r="E97" s="193"/>
    </row>
    <row r="98" spans="2:5" ht="15.75" customHeight="1">
      <c r="B98" s="468" t="s">
        <v>273</v>
      </c>
      <c r="C98" s="357">
        <v>965.57961</v>
      </c>
      <c r="D98" s="357">
        <f t="shared" si="1"/>
        <v>3585.19709</v>
      </c>
      <c r="E98" s="193"/>
    </row>
    <row r="99" spans="2:5" ht="15.75" customHeight="1">
      <c r="B99" s="468" t="s">
        <v>268</v>
      </c>
      <c r="C99" s="357">
        <v>867.16292</v>
      </c>
      <c r="D99" s="357">
        <f t="shared" si="1"/>
        <v>3219.77592</v>
      </c>
      <c r="E99" s="193"/>
    </row>
    <row r="100" spans="2:5" ht="15.75" customHeight="1">
      <c r="B100" s="468" t="s">
        <v>274</v>
      </c>
      <c r="C100" s="357">
        <v>854.75313</v>
      </c>
      <c r="D100" s="357">
        <f t="shared" si="1"/>
        <v>3173.69837</v>
      </c>
      <c r="E100" s="193"/>
    </row>
    <row r="101" spans="2:5" ht="15.75" customHeight="1">
      <c r="B101" s="468" t="s">
        <v>295</v>
      </c>
      <c r="C101" s="357">
        <v>844.0960799999999</v>
      </c>
      <c r="D101" s="357">
        <f aca="true" t="shared" si="2" ref="D101:D158">ROUND(+C101*$E$9,5)</f>
        <v>3134.12875</v>
      </c>
      <c r="E101" s="193"/>
    </row>
    <row r="102" spans="2:5" ht="15.75" customHeight="1">
      <c r="B102" s="468" t="s">
        <v>370</v>
      </c>
      <c r="C102" s="357">
        <v>834.76643</v>
      </c>
      <c r="D102" s="357">
        <f t="shared" si="2"/>
        <v>3099.48775</v>
      </c>
      <c r="E102" s="193"/>
    </row>
    <row r="103" spans="2:5" ht="15.75" customHeight="1">
      <c r="B103" s="468" t="s">
        <v>281</v>
      </c>
      <c r="C103" s="357">
        <v>773.05037</v>
      </c>
      <c r="D103" s="357">
        <f t="shared" si="2"/>
        <v>2870.33602</v>
      </c>
      <c r="E103" s="193"/>
    </row>
    <row r="104" spans="2:5" ht="15.75" customHeight="1">
      <c r="B104" s="468" t="s">
        <v>185</v>
      </c>
      <c r="C104" s="357">
        <v>730.05644</v>
      </c>
      <c r="D104" s="357">
        <f t="shared" si="2"/>
        <v>2710.69956</v>
      </c>
      <c r="E104" s="193"/>
    </row>
    <row r="105" spans="2:5" ht="15.75" customHeight="1">
      <c r="B105" s="468" t="s">
        <v>326</v>
      </c>
      <c r="C105" s="357">
        <v>708.1514599999999</v>
      </c>
      <c r="D105" s="357">
        <f t="shared" si="2"/>
        <v>2629.36637</v>
      </c>
      <c r="E105" s="193"/>
    </row>
    <row r="106" spans="2:5" ht="15.75" customHeight="1">
      <c r="B106" s="468" t="s">
        <v>327</v>
      </c>
      <c r="C106" s="357">
        <v>692.88194</v>
      </c>
      <c r="D106" s="357">
        <f t="shared" si="2"/>
        <v>2572.67064</v>
      </c>
      <c r="E106" s="193"/>
    </row>
    <row r="107" spans="2:5" ht="15.75" customHeight="1">
      <c r="B107" s="468" t="s">
        <v>380</v>
      </c>
      <c r="C107" s="357">
        <v>676.953</v>
      </c>
      <c r="D107" s="357">
        <f t="shared" si="2"/>
        <v>2513.52649</v>
      </c>
      <c r="E107" s="193"/>
    </row>
    <row r="108" spans="2:5" ht="15.75" customHeight="1">
      <c r="B108" s="468" t="s">
        <v>392</v>
      </c>
      <c r="C108" s="357">
        <v>665.23027</v>
      </c>
      <c r="D108" s="357">
        <f t="shared" si="2"/>
        <v>2469.99999</v>
      </c>
      <c r="E108" s="193"/>
    </row>
    <row r="109" spans="2:5" ht="15.75" customHeight="1">
      <c r="B109" s="468" t="s">
        <v>198</v>
      </c>
      <c r="C109" s="357">
        <v>642.63117</v>
      </c>
      <c r="D109" s="357">
        <f t="shared" si="2"/>
        <v>2386.08953</v>
      </c>
      <c r="E109" s="193"/>
    </row>
    <row r="110" spans="2:5" ht="15.75" customHeight="1">
      <c r="B110" s="468" t="s">
        <v>329</v>
      </c>
      <c r="C110" s="357">
        <v>630.18948</v>
      </c>
      <c r="D110" s="357">
        <f t="shared" si="2"/>
        <v>2339.89354</v>
      </c>
      <c r="E110" s="193"/>
    </row>
    <row r="111" spans="2:5" ht="15.75" customHeight="1">
      <c r="B111" s="468" t="s">
        <v>258</v>
      </c>
      <c r="C111" s="357">
        <v>614.6603299999999</v>
      </c>
      <c r="D111" s="357">
        <f t="shared" si="2"/>
        <v>2282.23381</v>
      </c>
      <c r="E111" s="193"/>
    </row>
    <row r="112" spans="2:5" ht="15.75" customHeight="1">
      <c r="B112" s="468" t="s">
        <v>259</v>
      </c>
      <c r="C112" s="357">
        <v>606.1042</v>
      </c>
      <c r="D112" s="357">
        <f t="shared" si="2"/>
        <v>2250.46489</v>
      </c>
      <c r="E112" s="193"/>
    </row>
    <row r="113" spans="2:5" ht="15.75" customHeight="1">
      <c r="B113" s="468" t="s">
        <v>328</v>
      </c>
      <c r="C113" s="357">
        <v>589.6865</v>
      </c>
      <c r="D113" s="357">
        <f t="shared" si="2"/>
        <v>2189.50597</v>
      </c>
      <c r="E113" s="193"/>
    </row>
    <row r="114" spans="2:5" ht="15.75" customHeight="1">
      <c r="B114" s="468" t="s">
        <v>269</v>
      </c>
      <c r="C114" s="357">
        <v>581.69585</v>
      </c>
      <c r="D114" s="357">
        <f t="shared" si="2"/>
        <v>2159.83669</v>
      </c>
      <c r="E114" s="193"/>
    </row>
    <row r="115" spans="2:5" ht="15.75" customHeight="1">
      <c r="B115" s="468" t="s">
        <v>285</v>
      </c>
      <c r="C115" s="357">
        <v>580.23438</v>
      </c>
      <c r="D115" s="357">
        <f t="shared" si="2"/>
        <v>2154.41025</v>
      </c>
      <c r="E115" s="193"/>
    </row>
    <row r="116" spans="2:5" ht="15.75" customHeight="1">
      <c r="B116" s="468" t="s">
        <v>372</v>
      </c>
      <c r="C116" s="357">
        <v>572.87226</v>
      </c>
      <c r="D116" s="357">
        <f t="shared" si="2"/>
        <v>2127.0747</v>
      </c>
      <c r="E116" s="193"/>
    </row>
    <row r="117" spans="2:5" ht="15.75" customHeight="1">
      <c r="B117" s="468" t="s">
        <v>354</v>
      </c>
      <c r="C117" s="357">
        <v>544.05539</v>
      </c>
      <c r="D117" s="357">
        <f t="shared" si="2"/>
        <v>2020.07766</v>
      </c>
      <c r="E117" s="193"/>
    </row>
    <row r="118" spans="2:5" ht="15.75" customHeight="1">
      <c r="B118" s="468" t="s">
        <v>167</v>
      </c>
      <c r="C118" s="357">
        <v>529.8260799999999</v>
      </c>
      <c r="D118" s="357">
        <f t="shared" si="2"/>
        <v>1967.24424</v>
      </c>
      <c r="E118" s="193"/>
    </row>
    <row r="119" spans="2:5" ht="15.75" customHeight="1">
      <c r="B119" s="468" t="s">
        <v>208</v>
      </c>
      <c r="C119" s="357">
        <v>448.64623</v>
      </c>
      <c r="D119" s="357">
        <f t="shared" si="2"/>
        <v>1665.82345</v>
      </c>
      <c r="E119" s="193"/>
    </row>
    <row r="120" spans="2:5" ht="15.75" customHeight="1">
      <c r="B120" s="468" t="s">
        <v>207</v>
      </c>
      <c r="C120" s="357">
        <v>445.21941</v>
      </c>
      <c r="D120" s="357">
        <f t="shared" si="2"/>
        <v>1653.09967</v>
      </c>
      <c r="E120" s="193"/>
    </row>
    <row r="121" spans="2:5" ht="15.75" customHeight="1">
      <c r="B121" s="468" t="s">
        <v>276</v>
      </c>
      <c r="C121" s="357">
        <v>429.8338</v>
      </c>
      <c r="D121" s="357">
        <f t="shared" si="2"/>
        <v>1595.9729</v>
      </c>
      <c r="E121" s="193"/>
    </row>
    <row r="122" spans="2:5" ht="15.75" customHeight="1">
      <c r="B122" s="468" t="s">
        <v>311</v>
      </c>
      <c r="C122" s="357">
        <v>426.11324</v>
      </c>
      <c r="D122" s="357">
        <f t="shared" si="2"/>
        <v>1582.15846</v>
      </c>
      <c r="E122" s="193"/>
    </row>
    <row r="123" spans="2:5" ht="15.75" customHeight="1">
      <c r="B123" s="468" t="s">
        <v>189</v>
      </c>
      <c r="C123" s="357">
        <v>420.96371000000005</v>
      </c>
      <c r="D123" s="357">
        <f t="shared" si="2"/>
        <v>1563.03826</v>
      </c>
      <c r="E123" s="193"/>
    </row>
    <row r="124" spans="2:5" ht="15.75" customHeight="1">
      <c r="B124" s="468" t="s">
        <v>355</v>
      </c>
      <c r="C124" s="357">
        <v>415.42907</v>
      </c>
      <c r="D124" s="357">
        <f t="shared" si="2"/>
        <v>1542.48814</v>
      </c>
      <c r="E124" s="193"/>
    </row>
    <row r="125" spans="2:5" ht="15.75" customHeight="1">
      <c r="B125" s="468" t="s">
        <v>393</v>
      </c>
      <c r="C125" s="357">
        <v>414.24041</v>
      </c>
      <c r="D125" s="357">
        <f t="shared" si="2"/>
        <v>1538.07464</v>
      </c>
      <c r="E125" s="193"/>
    </row>
    <row r="126" spans="2:5" ht="15.75" customHeight="1">
      <c r="B126" s="468" t="s">
        <v>188</v>
      </c>
      <c r="C126" s="357">
        <v>406.70556</v>
      </c>
      <c r="D126" s="357">
        <f t="shared" si="2"/>
        <v>1510.09774</v>
      </c>
      <c r="E126" s="193"/>
    </row>
    <row r="127" spans="2:5" ht="15.75" customHeight="1">
      <c r="B127" s="468" t="s">
        <v>356</v>
      </c>
      <c r="C127" s="357">
        <v>399.54807</v>
      </c>
      <c r="D127" s="357">
        <f t="shared" si="2"/>
        <v>1483.52198</v>
      </c>
      <c r="E127" s="193"/>
    </row>
    <row r="128" spans="2:5" ht="15.75" customHeight="1">
      <c r="B128" s="468" t="s">
        <v>194</v>
      </c>
      <c r="C128" s="357">
        <v>392.94816</v>
      </c>
      <c r="D128" s="357">
        <f t="shared" si="2"/>
        <v>1459.01652</v>
      </c>
      <c r="E128" s="193"/>
    </row>
    <row r="129" spans="2:5" ht="15.75" customHeight="1">
      <c r="B129" s="468" t="s">
        <v>371</v>
      </c>
      <c r="C129" s="357">
        <v>375.34457000000003</v>
      </c>
      <c r="D129" s="357">
        <f t="shared" si="2"/>
        <v>1393.65439</v>
      </c>
      <c r="E129" s="193"/>
    </row>
    <row r="130" spans="2:5" ht="15.75" customHeight="1">
      <c r="B130" s="468" t="s">
        <v>209</v>
      </c>
      <c r="C130" s="357">
        <v>363.58952</v>
      </c>
      <c r="D130" s="357">
        <f t="shared" si="2"/>
        <v>1350.00789</v>
      </c>
      <c r="E130" s="193"/>
    </row>
    <row r="131" spans="2:5" ht="15.75" customHeight="1">
      <c r="B131" s="468" t="s">
        <v>344</v>
      </c>
      <c r="C131" s="357">
        <v>341.89817999999997</v>
      </c>
      <c r="D131" s="357">
        <f t="shared" si="2"/>
        <v>1269.46794</v>
      </c>
      <c r="E131" s="193"/>
    </row>
    <row r="132" spans="2:5" ht="15.75" customHeight="1">
      <c r="B132" s="468" t="s">
        <v>200</v>
      </c>
      <c r="C132" s="357">
        <v>334.69579999999996</v>
      </c>
      <c r="D132" s="357">
        <f t="shared" si="2"/>
        <v>1242.72551</v>
      </c>
      <c r="E132" s="193"/>
    </row>
    <row r="133" spans="2:5" ht="15.75" customHeight="1">
      <c r="B133" s="468" t="s">
        <v>318</v>
      </c>
      <c r="C133" s="357">
        <v>331.76913</v>
      </c>
      <c r="D133" s="357">
        <f t="shared" si="2"/>
        <v>1231.85878</v>
      </c>
      <c r="E133" s="193"/>
    </row>
    <row r="134" spans="2:5" ht="15.75" customHeight="1">
      <c r="B134" s="468" t="s">
        <v>357</v>
      </c>
      <c r="C134" s="357">
        <v>329.56702</v>
      </c>
      <c r="D134" s="357">
        <f t="shared" si="2"/>
        <v>1223.68235</v>
      </c>
      <c r="E134" s="193"/>
    </row>
    <row r="135" spans="2:5" ht="15.75" customHeight="1">
      <c r="B135" s="468" t="s">
        <v>270</v>
      </c>
      <c r="C135" s="357">
        <v>321.42996999999997</v>
      </c>
      <c r="D135" s="357">
        <f t="shared" si="2"/>
        <v>1193.46948</v>
      </c>
      <c r="E135" s="193"/>
    </row>
    <row r="136" spans="2:5" ht="15.75" customHeight="1">
      <c r="B136" s="468" t="s">
        <v>343</v>
      </c>
      <c r="C136" s="357">
        <v>310.68204</v>
      </c>
      <c r="D136" s="357">
        <f t="shared" si="2"/>
        <v>1153.56241</v>
      </c>
      <c r="E136" s="193"/>
    </row>
    <row r="137" spans="2:5" ht="15.75" customHeight="1">
      <c r="B137" s="468" t="s">
        <v>202</v>
      </c>
      <c r="C137" s="357">
        <v>294.56446</v>
      </c>
      <c r="D137" s="357">
        <f t="shared" si="2"/>
        <v>1093.71784</v>
      </c>
      <c r="E137" s="193"/>
    </row>
    <row r="138" spans="2:5" ht="15.75" customHeight="1">
      <c r="B138" s="468" t="s">
        <v>358</v>
      </c>
      <c r="C138" s="357">
        <v>285.36071999999996</v>
      </c>
      <c r="D138" s="357">
        <f t="shared" si="2"/>
        <v>1059.54435</v>
      </c>
      <c r="E138" s="193"/>
    </row>
    <row r="139" spans="2:5" ht="15.75" customHeight="1">
      <c r="B139" s="468" t="s">
        <v>241</v>
      </c>
      <c r="C139" s="357">
        <v>257.19507999999996</v>
      </c>
      <c r="D139" s="357">
        <f t="shared" si="2"/>
        <v>954.96533</v>
      </c>
      <c r="E139" s="193"/>
    </row>
    <row r="140" spans="2:5" ht="15.75" customHeight="1">
      <c r="B140" s="468" t="s">
        <v>346</v>
      </c>
      <c r="C140" s="357">
        <v>242.54856</v>
      </c>
      <c r="D140" s="357">
        <f t="shared" si="2"/>
        <v>900.5828</v>
      </c>
      <c r="E140" s="193"/>
    </row>
    <row r="141" spans="2:5" ht="15.75" customHeight="1">
      <c r="B141" s="468" t="s">
        <v>345</v>
      </c>
      <c r="C141" s="357">
        <v>241.85497</v>
      </c>
      <c r="D141" s="357">
        <f t="shared" si="2"/>
        <v>898.0075</v>
      </c>
      <c r="E141" s="193"/>
    </row>
    <row r="142" spans="2:5" ht="15.75" customHeight="1">
      <c r="B142" s="468" t="s">
        <v>175</v>
      </c>
      <c r="C142" s="357">
        <v>235.70009</v>
      </c>
      <c r="D142" s="357">
        <f t="shared" si="2"/>
        <v>875.15443</v>
      </c>
      <c r="E142" s="193"/>
    </row>
    <row r="143" spans="2:5" ht="15.75" customHeight="1">
      <c r="B143" s="468" t="s">
        <v>280</v>
      </c>
      <c r="C143" s="357">
        <v>222.04983</v>
      </c>
      <c r="D143" s="357">
        <f t="shared" si="2"/>
        <v>824.47102</v>
      </c>
      <c r="E143" s="193"/>
    </row>
    <row r="144" spans="2:5" ht="15.75" customHeight="1">
      <c r="B144" s="468" t="s">
        <v>206</v>
      </c>
      <c r="C144" s="357">
        <v>202.71013</v>
      </c>
      <c r="D144" s="357">
        <f t="shared" si="2"/>
        <v>752.66271</v>
      </c>
      <c r="E144" s="193"/>
    </row>
    <row r="145" spans="2:5" ht="15.75" customHeight="1">
      <c r="B145" s="468" t="s">
        <v>192</v>
      </c>
      <c r="C145" s="357">
        <v>200.39479</v>
      </c>
      <c r="D145" s="357">
        <f t="shared" si="2"/>
        <v>744.06586</v>
      </c>
      <c r="E145" s="193"/>
    </row>
    <row r="146" spans="2:5" ht="15.75" customHeight="1">
      <c r="B146" s="468" t="s">
        <v>199</v>
      </c>
      <c r="C146" s="357">
        <v>198.87635</v>
      </c>
      <c r="D146" s="357">
        <f t="shared" si="2"/>
        <v>738.42789</v>
      </c>
      <c r="E146" s="193"/>
    </row>
    <row r="147" spans="2:5" ht="15.75" customHeight="1">
      <c r="B147" s="468" t="s">
        <v>191</v>
      </c>
      <c r="C147" s="357">
        <v>195.89392</v>
      </c>
      <c r="D147" s="357">
        <f t="shared" si="2"/>
        <v>727.35412</v>
      </c>
      <c r="E147" s="193"/>
    </row>
    <row r="148" spans="2:5" ht="15.75" customHeight="1">
      <c r="B148" s="468" t="s">
        <v>180</v>
      </c>
      <c r="C148" s="357">
        <v>194.29371</v>
      </c>
      <c r="D148" s="357">
        <f t="shared" si="2"/>
        <v>721.41255</v>
      </c>
      <c r="E148" s="193"/>
    </row>
    <row r="149" spans="2:5" ht="15.75" customHeight="1">
      <c r="B149" s="468" t="s">
        <v>351</v>
      </c>
      <c r="C149" s="357">
        <v>181.82820999999998</v>
      </c>
      <c r="D149" s="357">
        <f t="shared" si="2"/>
        <v>675.12814</v>
      </c>
      <c r="E149" s="193"/>
    </row>
    <row r="150" spans="2:5" ht="15.75" customHeight="1">
      <c r="B150" s="468" t="s">
        <v>330</v>
      </c>
      <c r="C150" s="357">
        <v>180.91607000000002</v>
      </c>
      <c r="D150" s="357">
        <f t="shared" si="2"/>
        <v>671.74137</v>
      </c>
      <c r="E150" s="193"/>
    </row>
    <row r="151" spans="2:5" ht="15.75" customHeight="1">
      <c r="B151" s="468" t="s">
        <v>184</v>
      </c>
      <c r="C151" s="357">
        <v>178.13951999999998</v>
      </c>
      <c r="D151" s="357">
        <f t="shared" si="2"/>
        <v>661.43204</v>
      </c>
      <c r="E151" s="193"/>
    </row>
    <row r="152" spans="2:5" ht="15.75" customHeight="1">
      <c r="B152" s="468" t="s">
        <v>359</v>
      </c>
      <c r="C152" s="357">
        <v>171.77486</v>
      </c>
      <c r="D152" s="357">
        <f t="shared" si="2"/>
        <v>637.80006</v>
      </c>
      <c r="E152" s="193"/>
    </row>
    <row r="153" spans="2:5" ht="15.75" customHeight="1">
      <c r="B153" s="468" t="s">
        <v>290</v>
      </c>
      <c r="C153" s="357">
        <v>151.80701000000002</v>
      </c>
      <c r="D153" s="357">
        <f t="shared" si="2"/>
        <v>563.65943</v>
      </c>
      <c r="E153" s="193"/>
    </row>
    <row r="154" spans="2:5" ht="15.75" customHeight="1">
      <c r="B154" s="468" t="s">
        <v>219</v>
      </c>
      <c r="C154" s="357">
        <v>139.87663</v>
      </c>
      <c r="D154" s="357">
        <f t="shared" si="2"/>
        <v>519.36193</v>
      </c>
      <c r="E154" s="193"/>
    </row>
    <row r="155" spans="2:5" ht="15.75" customHeight="1">
      <c r="B155" s="468" t="s">
        <v>195</v>
      </c>
      <c r="C155" s="357">
        <v>136.91658999999999</v>
      </c>
      <c r="D155" s="357">
        <f t="shared" si="2"/>
        <v>508.3713</v>
      </c>
      <c r="E155" s="193"/>
    </row>
    <row r="156" spans="2:5" ht="15.75" customHeight="1">
      <c r="B156" s="468" t="s">
        <v>201</v>
      </c>
      <c r="C156" s="357">
        <v>134.95777999999999</v>
      </c>
      <c r="D156" s="357">
        <f t="shared" si="2"/>
        <v>501.09824</v>
      </c>
      <c r="E156" s="193"/>
    </row>
    <row r="157" spans="2:5" ht="15.75" customHeight="1">
      <c r="B157" s="468" t="s">
        <v>174</v>
      </c>
      <c r="C157" s="357">
        <v>109.7914</v>
      </c>
      <c r="D157" s="357">
        <f t="shared" si="2"/>
        <v>407.65547</v>
      </c>
      <c r="E157" s="193"/>
    </row>
    <row r="158" spans="2:7" s="180" customFormat="1" ht="15.75" customHeight="1">
      <c r="B158" s="468" t="s">
        <v>94</v>
      </c>
      <c r="C158" s="357">
        <v>483.0443000000001</v>
      </c>
      <c r="D158" s="357">
        <f t="shared" si="2"/>
        <v>1793.54349</v>
      </c>
      <c r="E158" s="193"/>
      <c r="F158" s="75"/>
      <c r="G158" s="75"/>
    </row>
    <row r="159" spans="1:7" s="222" customFormat="1" ht="12" customHeight="1">
      <c r="A159" s="78"/>
      <c r="B159" s="468"/>
      <c r="C159" s="357"/>
      <c r="D159" s="357"/>
      <c r="E159" s="193"/>
      <c r="F159" s="75"/>
      <c r="G159" s="75"/>
    </row>
    <row r="160" spans="1:7" s="222" customFormat="1" ht="15.75" customHeight="1">
      <c r="A160" s="78"/>
      <c r="B160" s="102" t="s">
        <v>236</v>
      </c>
      <c r="C160" s="95">
        <f>SUM(C162:C163)</f>
        <v>11077.94332</v>
      </c>
      <c r="D160" s="95">
        <f>SUM(D162:D163)</f>
        <v>41132.40354</v>
      </c>
      <c r="E160" s="193"/>
      <c r="F160" s="75"/>
      <c r="G160" s="75"/>
    </row>
    <row r="161" spans="1:7" s="222" customFormat="1" ht="7.5" customHeight="1">
      <c r="A161" s="78"/>
      <c r="B161" s="103"/>
      <c r="C161" s="95"/>
      <c r="D161" s="104"/>
      <c r="E161" s="193"/>
      <c r="F161" s="75"/>
      <c r="G161" s="75"/>
    </row>
    <row r="162" spans="1:7" s="222" customFormat="1" ht="15.75" customHeight="1">
      <c r="A162" s="78"/>
      <c r="B162" s="395" t="s">
        <v>235</v>
      </c>
      <c r="C162" s="357">
        <v>11077.94326</v>
      </c>
      <c r="D162" s="359">
        <f>ROUND(+C162*$E$9,5)</f>
        <v>41132.40332</v>
      </c>
      <c r="E162" s="193"/>
      <c r="F162" s="75"/>
      <c r="G162" s="75"/>
    </row>
    <row r="163" spans="1:7" s="222" customFormat="1" ht="15.75" customHeight="1">
      <c r="A163" s="78"/>
      <c r="B163" s="395" t="s">
        <v>271</v>
      </c>
      <c r="C163" s="357">
        <v>5.9999999999999995E-05</v>
      </c>
      <c r="D163" s="359">
        <f>ROUND(+C163*$E$9,5)</f>
        <v>0.00022</v>
      </c>
      <c r="E163" s="193"/>
      <c r="F163" s="75"/>
      <c r="G163" s="75"/>
    </row>
    <row r="164" spans="1:7" s="222" customFormat="1" ht="16.5" customHeight="1">
      <c r="A164" s="78"/>
      <c r="B164" s="81"/>
      <c r="C164" s="358"/>
      <c r="D164" s="360"/>
      <c r="E164" s="193"/>
      <c r="F164" s="75"/>
      <c r="G164" s="75"/>
    </row>
    <row r="165" spans="1:7" s="222" customFormat="1" ht="16.5" customHeight="1">
      <c r="A165" s="78"/>
      <c r="B165" s="563" t="s">
        <v>14</v>
      </c>
      <c r="C165" s="581">
        <f>+C35+C15+C160</f>
        <v>994552.6302699997</v>
      </c>
      <c r="D165" s="581">
        <f>+D35+D15+D160</f>
        <v>3692773.9161299975</v>
      </c>
      <c r="E165" s="193"/>
      <c r="F165" s="75"/>
      <c r="G165" s="75"/>
    </row>
    <row r="166" spans="1:7" s="219" customFormat="1" ht="16.5" customHeight="1">
      <c r="A166" s="75"/>
      <c r="B166" s="564"/>
      <c r="C166" s="582"/>
      <c r="D166" s="582"/>
      <c r="E166" s="193"/>
      <c r="F166" s="75"/>
      <c r="G166" s="75"/>
    </row>
    <row r="167" spans="1:7" s="219" customFormat="1" ht="7.5" customHeight="1">
      <c r="A167" s="75"/>
      <c r="B167" s="82"/>
      <c r="C167" s="83"/>
      <c r="D167" s="83"/>
      <c r="E167" s="193"/>
      <c r="F167" s="180"/>
      <c r="G167" s="75"/>
    </row>
    <row r="168" spans="1:7" s="219" customFormat="1" ht="15" customHeight="1">
      <c r="A168" s="75"/>
      <c r="B168" s="79" t="s">
        <v>155</v>
      </c>
      <c r="C168" s="492"/>
      <c r="D168" s="192"/>
      <c r="E168" s="193"/>
      <c r="F168" s="180"/>
      <c r="G168" s="75"/>
    </row>
    <row r="169" spans="1:7" s="220" customFormat="1" ht="15">
      <c r="A169" s="76"/>
      <c r="B169" s="79" t="s">
        <v>156</v>
      </c>
      <c r="C169" s="190"/>
      <c r="D169" s="191"/>
      <c r="E169" s="193"/>
      <c r="F169" s="180"/>
      <c r="G169" s="75"/>
    </row>
    <row r="170" spans="1:7" s="219" customFormat="1" ht="15">
      <c r="A170" s="75"/>
      <c r="B170" s="84" t="s">
        <v>157</v>
      </c>
      <c r="C170" s="178"/>
      <c r="D170" s="114"/>
      <c r="E170" s="193"/>
      <c r="F170" s="180"/>
      <c r="G170" s="75"/>
    </row>
    <row r="171" spans="1:7" s="221" customFormat="1" ht="15.75">
      <c r="A171" s="74"/>
      <c r="B171" s="84" t="s">
        <v>158</v>
      </c>
      <c r="C171" s="84"/>
      <c r="D171" s="84"/>
      <c r="E171" s="193"/>
      <c r="F171" s="180"/>
      <c r="G171" s="75"/>
    </row>
    <row r="172" spans="1:7" s="221" customFormat="1" ht="15" customHeight="1">
      <c r="A172" s="74"/>
      <c r="B172" s="567" t="s">
        <v>394</v>
      </c>
      <c r="C172" s="567"/>
      <c r="D172" s="567"/>
      <c r="E172" s="193"/>
      <c r="F172" s="180"/>
      <c r="G172" s="75"/>
    </row>
    <row r="173" spans="1:7" s="221" customFormat="1" ht="15" customHeight="1">
      <c r="A173" s="74"/>
      <c r="B173" s="577" t="s">
        <v>237</v>
      </c>
      <c r="C173" s="577"/>
      <c r="D173" s="577"/>
      <c r="E173" s="193"/>
      <c r="F173" s="180"/>
      <c r="G173" s="75"/>
    </row>
    <row r="174" spans="1:7" s="221" customFormat="1" ht="15" customHeight="1">
      <c r="A174" s="74"/>
      <c r="B174" s="411"/>
      <c r="C174" s="412"/>
      <c r="D174" s="412"/>
      <c r="E174" s="193"/>
      <c r="F174" s="180"/>
      <c r="G174" s="75"/>
    </row>
    <row r="175" spans="1:7" s="221" customFormat="1" ht="15.75">
      <c r="A175" s="74"/>
      <c r="B175" s="411"/>
      <c r="C175" s="413"/>
      <c r="D175" s="413"/>
      <c r="E175" s="193"/>
      <c r="F175" s="180"/>
      <c r="G175" s="75"/>
    </row>
    <row r="176" spans="1:7" s="219" customFormat="1" ht="15" customHeight="1">
      <c r="A176" s="75"/>
      <c r="B176" s="414"/>
      <c r="C176" s="415"/>
      <c r="D176" s="415"/>
      <c r="E176" s="193"/>
      <c r="F176" s="180"/>
      <c r="G176" s="75"/>
    </row>
    <row r="177" spans="1:7" s="219" customFormat="1" ht="15" customHeight="1">
      <c r="A177" s="75"/>
      <c r="B177" s="86" t="s">
        <v>106</v>
      </c>
      <c r="C177" s="93"/>
      <c r="D177" s="93"/>
      <c r="E177" s="193"/>
      <c r="F177" s="180"/>
      <c r="G177" s="75"/>
    </row>
    <row r="178" spans="1:7" s="219" customFormat="1" ht="18">
      <c r="A178" s="75"/>
      <c r="B178" s="138" t="s">
        <v>248</v>
      </c>
      <c r="C178" s="94"/>
      <c r="D178" s="94"/>
      <c r="E178" s="193"/>
      <c r="F178" s="180"/>
      <c r="G178" s="75"/>
    </row>
    <row r="179" spans="1:7" s="219" customFormat="1" ht="15" customHeight="1">
      <c r="A179" s="75"/>
      <c r="B179" s="356" t="s">
        <v>66</v>
      </c>
      <c r="C179" s="94"/>
      <c r="D179" s="94"/>
      <c r="E179" s="193"/>
      <c r="F179" s="180"/>
      <c r="G179" s="75"/>
    </row>
    <row r="180" spans="1:7" s="219" customFormat="1" ht="15.75" customHeight="1">
      <c r="A180" s="75"/>
      <c r="B180" s="356" t="s">
        <v>99</v>
      </c>
      <c r="C180" s="94"/>
      <c r="D180" s="94"/>
      <c r="E180" s="193"/>
      <c r="F180" s="180"/>
      <c r="G180" s="75"/>
    </row>
    <row r="181" spans="1:7" s="219" customFormat="1" ht="15.75" customHeight="1">
      <c r="A181" s="75"/>
      <c r="B181" s="329" t="str">
        <f>+B9</f>
        <v>Al 31 de diciembre de 2023</v>
      </c>
      <c r="C181" s="329"/>
      <c r="D181" s="93"/>
      <c r="E181" s="193"/>
      <c r="F181" s="180"/>
      <c r="G181" s="75"/>
    </row>
    <row r="182" spans="1:7" s="219" customFormat="1" ht="7.5" customHeight="1">
      <c r="A182" s="75"/>
      <c r="B182" s="259"/>
      <c r="C182" s="270"/>
      <c r="D182" s="270"/>
      <c r="E182" s="193"/>
      <c r="F182" s="180"/>
      <c r="G182" s="75"/>
    </row>
    <row r="183" spans="1:7" s="219" customFormat="1" ht="12" customHeight="1">
      <c r="A183" s="75"/>
      <c r="B183" s="568" t="s">
        <v>97</v>
      </c>
      <c r="C183" s="571" t="s">
        <v>53</v>
      </c>
      <c r="D183" s="574" t="s">
        <v>131</v>
      </c>
      <c r="E183" s="193"/>
      <c r="F183" s="180"/>
      <c r="G183" s="75"/>
    </row>
    <row r="184" spans="1:7" s="219" customFormat="1" ht="12" customHeight="1">
      <c r="A184" s="75"/>
      <c r="B184" s="569"/>
      <c r="C184" s="572"/>
      <c r="D184" s="575"/>
      <c r="E184" s="193"/>
      <c r="F184" s="180"/>
      <c r="G184" s="75"/>
    </row>
    <row r="185" spans="1:5" s="219" customFormat="1" ht="12" customHeight="1">
      <c r="A185" s="75"/>
      <c r="B185" s="570"/>
      <c r="C185" s="573"/>
      <c r="D185" s="576"/>
      <c r="E185" s="193"/>
    </row>
    <row r="186" spans="1:5" s="219" customFormat="1" ht="9.75" customHeight="1">
      <c r="A186" s="75"/>
      <c r="B186" s="260"/>
      <c r="C186" s="272"/>
      <c r="D186" s="273"/>
      <c r="E186" s="193"/>
    </row>
    <row r="187" spans="1:5" s="219" customFormat="1" ht="20.25" customHeight="1">
      <c r="A187" s="75"/>
      <c r="B187" s="100" t="s">
        <v>119</v>
      </c>
      <c r="C187" s="95">
        <v>0</v>
      </c>
      <c r="D187" s="95">
        <v>0</v>
      </c>
      <c r="E187" s="193"/>
    </row>
    <row r="188" spans="1:5" s="219" customFormat="1" ht="7.5" customHeight="1">
      <c r="A188" s="75"/>
      <c r="B188" s="100"/>
      <c r="C188" s="95"/>
      <c r="D188" s="95"/>
      <c r="E188" s="193"/>
    </row>
    <row r="189" spans="1:5" s="219" customFormat="1" ht="12" customHeight="1">
      <c r="A189" s="75"/>
      <c r="B189" s="469"/>
      <c r="C189" s="358"/>
      <c r="D189" s="358"/>
      <c r="E189" s="193"/>
    </row>
    <row r="190" spans="1:6" s="219" customFormat="1" ht="20.25" customHeight="1">
      <c r="A190" s="75"/>
      <c r="B190" s="470" t="s">
        <v>113</v>
      </c>
      <c r="C190" s="95">
        <f>SUM(C192:C279)</f>
        <v>31957.026120000006</v>
      </c>
      <c r="D190" s="95">
        <f>SUM(D192:D279)</f>
        <v>118656.43801999997</v>
      </c>
      <c r="E190" s="193"/>
      <c r="F190" s="193"/>
    </row>
    <row r="191" spans="2:5" ht="7.5" customHeight="1">
      <c r="B191" s="471"/>
      <c r="C191" s="95"/>
      <c r="D191" s="358"/>
      <c r="E191" s="193"/>
    </row>
    <row r="192" spans="2:5" ht="15.75" customHeight="1">
      <c r="B192" s="468" t="s">
        <v>319</v>
      </c>
      <c r="C192" s="357">
        <v>1642.4505100000001</v>
      </c>
      <c r="D192" s="357">
        <f aca="true" t="shared" si="3" ref="D192:D255">ROUND(+C192*$E$9,5)</f>
        <v>6098.41874</v>
      </c>
      <c r="E192" s="193"/>
    </row>
    <row r="193" spans="2:5" ht="15.75" customHeight="1">
      <c r="B193" s="468" t="s">
        <v>360</v>
      </c>
      <c r="C193" s="357">
        <v>1022.2623100000001</v>
      </c>
      <c r="D193" s="357">
        <f t="shared" si="3"/>
        <v>3795.65996</v>
      </c>
      <c r="E193" s="193"/>
    </row>
    <row r="194" spans="2:5" ht="15.75" customHeight="1">
      <c r="B194" s="468" t="s">
        <v>177</v>
      </c>
      <c r="C194" s="357">
        <v>1014.78609</v>
      </c>
      <c r="D194" s="357">
        <f t="shared" si="3"/>
        <v>3767.90075</v>
      </c>
      <c r="E194" s="193"/>
    </row>
    <row r="195" spans="2:5" ht="15.75" customHeight="1">
      <c r="B195" s="468" t="s">
        <v>331</v>
      </c>
      <c r="C195" s="357">
        <v>956.45111</v>
      </c>
      <c r="D195" s="357">
        <f t="shared" si="3"/>
        <v>3551.30297</v>
      </c>
      <c r="E195" s="193"/>
    </row>
    <row r="196" spans="2:5" ht="15.75" customHeight="1">
      <c r="B196" s="468" t="s">
        <v>332</v>
      </c>
      <c r="C196" s="357">
        <v>934.67634</v>
      </c>
      <c r="D196" s="357">
        <f t="shared" si="3"/>
        <v>3470.45325</v>
      </c>
      <c r="E196" s="193"/>
    </row>
    <row r="197" spans="2:5" ht="15.75" customHeight="1">
      <c r="B197" s="468" t="s">
        <v>395</v>
      </c>
      <c r="C197" s="357">
        <v>862.79482</v>
      </c>
      <c r="D197" s="357">
        <f t="shared" si="3"/>
        <v>3203.55717</v>
      </c>
      <c r="E197" s="193"/>
    </row>
    <row r="198" spans="2:5" ht="15.75" customHeight="1">
      <c r="B198" s="468" t="s">
        <v>316</v>
      </c>
      <c r="C198" s="357">
        <v>817.1079599999999</v>
      </c>
      <c r="D198" s="357">
        <f t="shared" si="3"/>
        <v>3033.92186</v>
      </c>
      <c r="E198" s="193"/>
    </row>
    <row r="199" spans="2:5" ht="15.75" customHeight="1">
      <c r="B199" s="468" t="s">
        <v>333</v>
      </c>
      <c r="C199" s="357">
        <v>806.77191</v>
      </c>
      <c r="D199" s="357">
        <f t="shared" si="3"/>
        <v>2995.5441</v>
      </c>
      <c r="E199" s="193"/>
    </row>
    <row r="200" spans="2:5" ht="15.75" customHeight="1">
      <c r="B200" s="468" t="s">
        <v>373</v>
      </c>
      <c r="C200" s="357">
        <v>789.3706099999999</v>
      </c>
      <c r="D200" s="357">
        <f t="shared" si="3"/>
        <v>2930.93307</v>
      </c>
      <c r="E200" s="193"/>
    </row>
    <row r="201" spans="2:5" ht="15.75" customHeight="1">
      <c r="B201" s="468" t="s">
        <v>379</v>
      </c>
      <c r="C201" s="357">
        <v>783.26712</v>
      </c>
      <c r="D201" s="357">
        <f t="shared" si="3"/>
        <v>2908.27082</v>
      </c>
      <c r="E201" s="193"/>
    </row>
    <row r="202" spans="2:5" ht="15.75" customHeight="1">
      <c r="B202" s="468" t="s">
        <v>396</v>
      </c>
      <c r="C202" s="357">
        <v>767.57339</v>
      </c>
      <c r="D202" s="357">
        <f t="shared" si="3"/>
        <v>2850</v>
      </c>
      <c r="E202" s="193"/>
    </row>
    <row r="203" spans="2:5" ht="15.75" customHeight="1">
      <c r="B203" s="468" t="s">
        <v>382</v>
      </c>
      <c r="C203" s="357">
        <v>704.47109</v>
      </c>
      <c r="D203" s="357">
        <f t="shared" si="3"/>
        <v>2615.70116</v>
      </c>
      <c r="E203" s="193"/>
    </row>
    <row r="204" spans="2:5" ht="15.75" customHeight="1">
      <c r="B204" s="468" t="s">
        <v>397</v>
      </c>
      <c r="C204" s="357">
        <v>700.24239</v>
      </c>
      <c r="D204" s="357">
        <f t="shared" si="3"/>
        <v>2599.99999</v>
      </c>
      <c r="E204" s="193"/>
    </row>
    <row r="205" spans="2:5" ht="15.75" customHeight="1">
      <c r="B205" s="468" t="s">
        <v>347</v>
      </c>
      <c r="C205" s="357">
        <v>673.07938</v>
      </c>
      <c r="D205" s="357">
        <f t="shared" si="3"/>
        <v>2499.14374</v>
      </c>
      <c r="E205" s="193"/>
    </row>
    <row r="206" spans="2:5" ht="15.75" customHeight="1">
      <c r="B206" s="468" t="s">
        <v>307</v>
      </c>
      <c r="C206" s="357">
        <v>573.61114</v>
      </c>
      <c r="D206" s="357">
        <f t="shared" si="3"/>
        <v>2129.81816</v>
      </c>
      <c r="E206" s="193"/>
    </row>
    <row r="207" spans="2:5" ht="15.75" customHeight="1">
      <c r="B207" s="468" t="s">
        <v>398</v>
      </c>
      <c r="C207" s="357">
        <v>559.60793</v>
      </c>
      <c r="D207" s="357">
        <f t="shared" si="3"/>
        <v>2077.82424</v>
      </c>
      <c r="E207" s="193"/>
    </row>
    <row r="208" spans="2:5" ht="15.75" customHeight="1">
      <c r="B208" s="468" t="s">
        <v>383</v>
      </c>
      <c r="C208" s="357">
        <v>542.11948</v>
      </c>
      <c r="D208" s="357">
        <f t="shared" si="3"/>
        <v>2012.88963</v>
      </c>
      <c r="E208" s="193"/>
    </row>
    <row r="209" spans="2:5" ht="15.75" customHeight="1">
      <c r="B209" s="468" t="s">
        <v>399</v>
      </c>
      <c r="C209" s="357">
        <v>534.91873</v>
      </c>
      <c r="D209" s="357">
        <f t="shared" si="3"/>
        <v>1986.15324</v>
      </c>
      <c r="E209" s="193"/>
    </row>
    <row r="210" spans="2:5" ht="15.75" customHeight="1">
      <c r="B210" s="497" t="s">
        <v>324</v>
      </c>
      <c r="C210" s="357">
        <v>533.62771</v>
      </c>
      <c r="D210" s="357">
        <f t="shared" si="3"/>
        <v>1981.35969</v>
      </c>
      <c r="E210" s="193"/>
    </row>
    <row r="211" spans="2:5" ht="15.75" customHeight="1">
      <c r="B211" s="497" t="s">
        <v>400</v>
      </c>
      <c r="C211" s="357">
        <v>509.30881</v>
      </c>
      <c r="D211" s="357">
        <f t="shared" si="3"/>
        <v>1891.06361</v>
      </c>
      <c r="E211" s="193"/>
    </row>
    <row r="212" spans="2:5" ht="15.75" customHeight="1">
      <c r="B212" s="497" t="s">
        <v>401</v>
      </c>
      <c r="C212" s="357">
        <v>479.31174</v>
      </c>
      <c r="D212" s="357">
        <f t="shared" si="3"/>
        <v>1779.68449</v>
      </c>
      <c r="E212" s="193"/>
    </row>
    <row r="213" spans="2:5" ht="15.75" customHeight="1">
      <c r="B213" s="497" t="s">
        <v>402</v>
      </c>
      <c r="C213" s="357">
        <v>435.37886</v>
      </c>
      <c r="D213" s="357">
        <f t="shared" si="3"/>
        <v>1616.56171</v>
      </c>
      <c r="E213" s="193"/>
    </row>
    <row r="214" spans="2:5" ht="15.75" customHeight="1">
      <c r="B214" s="497" t="s">
        <v>384</v>
      </c>
      <c r="C214" s="357">
        <v>430.85138</v>
      </c>
      <c r="D214" s="357">
        <f t="shared" si="3"/>
        <v>1599.75117</v>
      </c>
      <c r="E214" s="193"/>
    </row>
    <row r="215" spans="2:5" ht="15.75" customHeight="1">
      <c r="B215" s="497" t="s">
        <v>374</v>
      </c>
      <c r="C215" s="357">
        <v>427.81161</v>
      </c>
      <c r="D215" s="357">
        <f t="shared" si="3"/>
        <v>1588.46451</v>
      </c>
      <c r="E215" s="193"/>
    </row>
    <row r="216" spans="2:5" ht="15.75" customHeight="1">
      <c r="B216" s="497" t="s">
        <v>403</v>
      </c>
      <c r="C216" s="357">
        <v>382.44008</v>
      </c>
      <c r="D216" s="357">
        <f t="shared" si="3"/>
        <v>1420.00002</v>
      </c>
      <c r="E216" s="193"/>
    </row>
    <row r="217" spans="2:5" ht="15.75" customHeight="1">
      <c r="B217" s="497" t="s">
        <v>329</v>
      </c>
      <c r="C217" s="357">
        <v>378.01955</v>
      </c>
      <c r="D217" s="357">
        <f t="shared" si="3"/>
        <v>1403.58659</v>
      </c>
      <c r="E217" s="193"/>
    </row>
    <row r="218" spans="2:5" ht="15.75" customHeight="1">
      <c r="B218" s="497" t="s">
        <v>404</v>
      </c>
      <c r="C218" s="357">
        <v>364.74818</v>
      </c>
      <c r="D218" s="357">
        <f t="shared" si="3"/>
        <v>1354.30999</v>
      </c>
      <c r="E218" s="193"/>
    </row>
    <row r="219" spans="2:5" ht="15.75" customHeight="1">
      <c r="B219" s="497" t="s">
        <v>375</v>
      </c>
      <c r="C219" s="357">
        <v>361.33221999999995</v>
      </c>
      <c r="D219" s="357">
        <f t="shared" si="3"/>
        <v>1341.62653</v>
      </c>
      <c r="E219" s="193"/>
    </row>
    <row r="220" spans="2:5" ht="15.75" customHeight="1">
      <c r="B220" s="497" t="s">
        <v>405</v>
      </c>
      <c r="C220" s="357">
        <v>359.94236</v>
      </c>
      <c r="D220" s="357">
        <f t="shared" si="3"/>
        <v>1336.46598</v>
      </c>
      <c r="E220" s="193"/>
    </row>
    <row r="221" spans="2:5" ht="15.75" customHeight="1">
      <c r="B221" s="497" t="s">
        <v>336</v>
      </c>
      <c r="C221" s="357">
        <v>354.76729</v>
      </c>
      <c r="D221" s="357">
        <f t="shared" si="3"/>
        <v>1317.25095</v>
      </c>
      <c r="E221" s="193"/>
    </row>
    <row r="222" spans="2:5" ht="15.75" customHeight="1">
      <c r="B222" s="497" t="s">
        <v>406</v>
      </c>
      <c r="C222" s="357">
        <v>346.9271</v>
      </c>
      <c r="D222" s="357">
        <f t="shared" si="3"/>
        <v>1288.14032</v>
      </c>
      <c r="E222" s="193"/>
    </row>
    <row r="223" spans="2:5" ht="15.75" customHeight="1">
      <c r="B223" s="497" t="s">
        <v>407</v>
      </c>
      <c r="C223" s="357">
        <v>328.57516999999996</v>
      </c>
      <c r="D223" s="357">
        <f t="shared" si="3"/>
        <v>1219.99961</v>
      </c>
      <c r="E223" s="193"/>
    </row>
    <row r="224" spans="2:5" ht="15.75" customHeight="1">
      <c r="B224" s="497" t="s">
        <v>190</v>
      </c>
      <c r="C224" s="357">
        <v>323.1888</v>
      </c>
      <c r="D224" s="357">
        <f t="shared" si="3"/>
        <v>1200.00001</v>
      </c>
      <c r="E224" s="193"/>
    </row>
    <row r="225" spans="2:5" ht="15.75" customHeight="1">
      <c r="B225" s="497" t="s">
        <v>408</v>
      </c>
      <c r="C225" s="357">
        <v>323.1888</v>
      </c>
      <c r="D225" s="357">
        <f t="shared" si="3"/>
        <v>1200.00001</v>
      </c>
      <c r="E225" s="193"/>
    </row>
    <row r="226" spans="2:5" ht="15.75" customHeight="1">
      <c r="B226" s="497" t="s">
        <v>361</v>
      </c>
      <c r="C226" s="357">
        <v>319.70509999999996</v>
      </c>
      <c r="D226" s="357">
        <f t="shared" si="3"/>
        <v>1187.06504</v>
      </c>
      <c r="E226" s="193"/>
    </row>
    <row r="227" spans="2:5" ht="15.75" customHeight="1">
      <c r="B227" s="497" t="s">
        <v>409</v>
      </c>
      <c r="C227" s="357">
        <v>296.25640000000004</v>
      </c>
      <c r="D227" s="357">
        <f t="shared" si="3"/>
        <v>1100.00001</v>
      </c>
      <c r="E227" s="193"/>
    </row>
    <row r="228" spans="2:5" ht="15.75" customHeight="1">
      <c r="B228" s="497" t="s">
        <v>410</v>
      </c>
      <c r="C228" s="357">
        <v>294.38421</v>
      </c>
      <c r="D228" s="357">
        <f t="shared" si="3"/>
        <v>1093.04857</v>
      </c>
      <c r="E228" s="193"/>
    </row>
    <row r="229" spans="2:5" ht="15.75" customHeight="1">
      <c r="B229" s="497" t="s">
        <v>334</v>
      </c>
      <c r="C229" s="357">
        <v>294.22192</v>
      </c>
      <c r="D229" s="357">
        <f t="shared" si="3"/>
        <v>1092.44599</v>
      </c>
      <c r="E229" s="193"/>
    </row>
    <row r="230" spans="2:5" ht="15.75" customHeight="1">
      <c r="B230" s="497" t="s">
        <v>312</v>
      </c>
      <c r="C230" s="357">
        <v>284.12075</v>
      </c>
      <c r="D230" s="357">
        <f t="shared" si="3"/>
        <v>1054.94034</v>
      </c>
      <c r="E230" s="193"/>
    </row>
    <row r="231" spans="2:5" ht="15.75" customHeight="1">
      <c r="B231" s="497" t="s">
        <v>298</v>
      </c>
      <c r="C231" s="357">
        <v>283.03954</v>
      </c>
      <c r="D231" s="357">
        <f t="shared" si="3"/>
        <v>1050.92581</v>
      </c>
      <c r="E231" s="193"/>
    </row>
    <row r="232" spans="2:5" ht="15.75" customHeight="1">
      <c r="B232" s="497" t="s">
        <v>320</v>
      </c>
      <c r="C232" s="357">
        <v>274.68909</v>
      </c>
      <c r="D232" s="357">
        <f t="shared" si="3"/>
        <v>1019.92059</v>
      </c>
      <c r="E232" s="193"/>
    </row>
    <row r="233" spans="2:5" ht="15.75" customHeight="1">
      <c r="B233" s="497" t="s">
        <v>362</v>
      </c>
      <c r="C233" s="357">
        <v>272.74987</v>
      </c>
      <c r="D233" s="357">
        <f t="shared" si="3"/>
        <v>1012.72027</v>
      </c>
      <c r="E233" s="193"/>
    </row>
    <row r="234" spans="2:5" ht="15.75" customHeight="1">
      <c r="B234" s="497" t="s">
        <v>411</v>
      </c>
      <c r="C234" s="357">
        <v>269.35093</v>
      </c>
      <c r="D234" s="357">
        <f t="shared" si="3"/>
        <v>1000.1</v>
      </c>
      <c r="E234" s="193"/>
    </row>
    <row r="235" spans="2:5" ht="15.75" customHeight="1">
      <c r="B235" s="497" t="s">
        <v>348</v>
      </c>
      <c r="C235" s="357">
        <v>254.67869</v>
      </c>
      <c r="D235" s="357">
        <f t="shared" si="3"/>
        <v>945.62198</v>
      </c>
      <c r="E235" s="193"/>
    </row>
    <row r="236" spans="2:5" ht="15.75" customHeight="1">
      <c r="B236" s="497" t="s">
        <v>335</v>
      </c>
      <c r="C236" s="357">
        <v>251.00374</v>
      </c>
      <c r="D236" s="357">
        <f t="shared" si="3"/>
        <v>931.97689</v>
      </c>
      <c r="E236" s="193"/>
    </row>
    <row r="237" spans="2:5" ht="15.75" customHeight="1">
      <c r="B237" s="497" t="s">
        <v>349</v>
      </c>
      <c r="C237" s="357">
        <v>248.68717</v>
      </c>
      <c r="D237" s="357">
        <f t="shared" si="3"/>
        <v>923.37546</v>
      </c>
      <c r="E237" s="193"/>
    </row>
    <row r="238" spans="2:5" ht="15.75" customHeight="1">
      <c r="B238" s="497" t="s">
        <v>412</v>
      </c>
      <c r="C238" s="357">
        <v>242.8007</v>
      </c>
      <c r="D238" s="357">
        <f t="shared" si="3"/>
        <v>901.519</v>
      </c>
      <c r="E238" s="193"/>
    </row>
    <row r="239" spans="2:5" ht="15.75" customHeight="1">
      <c r="B239" s="497" t="s">
        <v>413</v>
      </c>
      <c r="C239" s="357">
        <v>242.3916</v>
      </c>
      <c r="D239" s="357">
        <f t="shared" si="3"/>
        <v>900.00001</v>
      </c>
      <c r="E239" s="193"/>
    </row>
    <row r="240" spans="2:5" ht="15.75" customHeight="1">
      <c r="B240" s="497" t="s">
        <v>270</v>
      </c>
      <c r="C240" s="357">
        <v>235.68351</v>
      </c>
      <c r="D240" s="357">
        <f t="shared" si="3"/>
        <v>875.09287</v>
      </c>
      <c r="E240" s="193"/>
    </row>
    <row r="241" spans="2:5" ht="15.75" customHeight="1">
      <c r="B241" s="497" t="s">
        <v>269</v>
      </c>
      <c r="C241" s="357">
        <v>229.64663000000002</v>
      </c>
      <c r="D241" s="357">
        <f t="shared" si="3"/>
        <v>852.67794</v>
      </c>
      <c r="E241" s="193"/>
    </row>
    <row r="242" spans="2:5" ht="15.75" customHeight="1">
      <c r="B242" s="497" t="s">
        <v>337</v>
      </c>
      <c r="C242" s="357">
        <v>218.95439000000002</v>
      </c>
      <c r="D242" s="357">
        <f t="shared" si="3"/>
        <v>812.97765</v>
      </c>
      <c r="E242" s="193"/>
    </row>
    <row r="243" spans="2:5" ht="15.75" customHeight="1">
      <c r="B243" s="497" t="s">
        <v>376</v>
      </c>
      <c r="C243" s="357">
        <v>213.35206</v>
      </c>
      <c r="D243" s="357">
        <f t="shared" si="3"/>
        <v>792.1762</v>
      </c>
      <c r="E243" s="193"/>
    </row>
    <row r="244" spans="2:5" ht="15.75" customHeight="1">
      <c r="B244" s="497" t="s">
        <v>363</v>
      </c>
      <c r="C244" s="357">
        <v>208.02691000000002</v>
      </c>
      <c r="D244" s="357">
        <f t="shared" si="3"/>
        <v>772.40392</v>
      </c>
      <c r="E244" s="193"/>
    </row>
    <row r="245" spans="2:5" ht="15.75" customHeight="1">
      <c r="B245" s="497" t="s">
        <v>299</v>
      </c>
      <c r="C245" s="357">
        <v>207.69151000000002</v>
      </c>
      <c r="D245" s="357">
        <f t="shared" si="3"/>
        <v>771.15858</v>
      </c>
      <c r="E245" s="193"/>
    </row>
    <row r="246" spans="2:5" ht="15.75" customHeight="1">
      <c r="B246" s="497" t="s">
        <v>350</v>
      </c>
      <c r="C246" s="357">
        <v>188.8105</v>
      </c>
      <c r="D246" s="357">
        <f t="shared" si="3"/>
        <v>701.05339</v>
      </c>
      <c r="E246" s="193"/>
    </row>
    <row r="247" spans="2:5" ht="15.75" customHeight="1">
      <c r="B247" s="497" t="s">
        <v>313</v>
      </c>
      <c r="C247" s="357">
        <v>183.28316</v>
      </c>
      <c r="D247" s="357">
        <f t="shared" si="3"/>
        <v>680.53037</v>
      </c>
      <c r="E247" s="193"/>
    </row>
    <row r="248" spans="2:5" ht="15.75" customHeight="1">
      <c r="B248" s="497" t="s">
        <v>321</v>
      </c>
      <c r="C248" s="357">
        <v>178.32228</v>
      </c>
      <c r="D248" s="357">
        <f t="shared" si="3"/>
        <v>662.11063</v>
      </c>
      <c r="E248" s="193"/>
    </row>
    <row r="249" spans="2:5" ht="15.75" customHeight="1">
      <c r="B249" s="497" t="s">
        <v>300</v>
      </c>
      <c r="C249" s="357">
        <v>173.03813</v>
      </c>
      <c r="D249" s="357">
        <f t="shared" si="3"/>
        <v>642.49058</v>
      </c>
      <c r="E249" s="193"/>
    </row>
    <row r="250" spans="2:5" ht="15.75" customHeight="1">
      <c r="B250" s="497" t="s">
        <v>314</v>
      </c>
      <c r="C250" s="357">
        <v>170.47724</v>
      </c>
      <c r="D250" s="357">
        <f t="shared" si="3"/>
        <v>632.98199</v>
      </c>
      <c r="E250" s="193"/>
    </row>
    <row r="251" spans="2:5" ht="15.75" customHeight="1">
      <c r="B251" s="497" t="s">
        <v>364</v>
      </c>
      <c r="C251" s="357">
        <v>163.33825</v>
      </c>
      <c r="D251" s="357">
        <f t="shared" si="3"/>
        <v>606.47492</v>
      </c>
      <c r="E251" s="193"/>
    </row>
    <row r="252" spans="2:5" ht="15.75" customHeight="1">
      <c r="B252" s="497" t="s">
        <v>414</v>
      </c>
      <c r="C252" s="357">
        <v>161.5944</v>
      </c>
      <c r="D252" s="357">
        <f t="shared" si="3"/>
        <v>600.00001</v>
      </c>
      <c r="E252" s="193"/>
    </row>
    <row r="253" spans="2:5" ht="15.75" customHeight="1">
      <c r="B253" s="497" t="s">
        <v>415</v>
      </c>
      <c r="C253" s="357">
        <v>161.5944</v>
      </c>
      <c r="D253" s="357">
        <f t="shared" si="3"/>
        <v>600.00001</v>
      </c>
      <c r="E253" s="193"/>
    </row>
    <row r="254" spans="2:5" ht="15.75" customHeight="1">
      <c r="B254" s="497" t="s">
        <v>416</v>
      </c>
      <c r="C254" s="357">
        <v>158.90116</v>
      </c>
      <c r="D254" s="357">
        <f t="shared" si="3"/>
        <v>590.00001</v>
      </c>
      <c r="E254" s="193"/>
    </row>
    <row r="255" spans="2:5" ht="15.75" customHeight="1">
      <c r="B255" s="497" t="s">
        <v>417</v>
      </c>
      <c r="C255" s="357">
        <v>152.95325</v>
      </c>
      <c r="D255" s="357">
        <f t="shared" si="3"/>
        <v>567.91542</v>
      </c>
      <c r="E255" s="193"/>
    </row>
    <row r="256" spans="2:5" ht="15.75" customHeight="1">
      <c r="B256" s="497" t="s">
        <v>381</v>
      </c>
      <c r="C256" s="357">
        <v>141.19022</v>
      </c>
      <c r="D256" s="357">
        <f aca="true" t="shared" si="4" ref="D256:D279">ROUND(+C256*$E$9,5)</f>
        <v>524.23929</v>
      </c>
      <c r="E256" s="193"/>
    </row>
    <row r="257" spans="2:5" ht="15.75" customHeight="1">
      <c r="B257" s="497" t="s">
        <v>418</v>
      </c>
      <c r="C257" s="357">
        <v>141.07569</v>
      </c>
      <c r="D257" s="357">
        <f t="shared" si="4"/>
        <v>523.81404</v>
      </c>
      <c r="E257" s="193"/>
    </row>
    <row r="258" spans="2:5" ht="15.75" customHeight="1">
      <c r="B258" s="497" t="s">
        <v>385</v>
      </c>
      <c r="C258" s="357">
        <v>140.73104</v>
      </c>
      <c r="D258" s="357">
        <f t="shared" si="4"/>
        <v>522.53435</v>
      </c>
      <c r="E258" s="193"/>
    </row>
    <row r="259" spans="2:5" ht="15.75" customHeight="1">
      <c r="B259" s="497" t="s">
        <v>289</v>
      </c>
      <c r="C259" s="357">
        <v>138.06808999999998</v>
      </c>
      <c r="D259" s="357">
        <f t="shared" si="4"/>
        <v>512.64682</v>
      </c>
      <c r="E259" s="193"/>
    </row>
    <row r="260" spans="2:5" ht="15.75" customHeight="1">
      <c r="B260" s="497" t="s">
        <v>338</v>
      </c>
      <c r="C260" s="357">
        <v>136.91331</v>
      </c>
      <c r="D260" s="357">
        <f t="shared" si="4"/>
        <v>508.35912</v>
      </c>
      <c r="E260" s="193"/>
    </row>
    <row r="261" spans="2:5" ht="15.75" customHeight="1">
      <c r="B261" s="497" t="s">
        <v>339</v>
      </c>
      <c r="C261" s="357">
        <v>136.87967</v>
      </c>
      <c r="D261" s="357">
        <f t="shared" si="4"/>
        <v>508.23421</v>
      </c>
      <c r="E261" s="193"/>
    </row>
    <row r="262" spans="2:5" ht="15.75" customHeight="1">
      <c r="B262" s="497" t="s">
        <v>419</v>
      </c>
      <c r="C262" s="357">
        <v>134.662</v>
      </c>
      <c r="D262" s="357">
        <f t="shared" si="4"/>
        <v>500.00001</v>
      </c>
      <c r="E262" s="193"/>
    </row>
    <row r="263" spans="2:5" ht="15.75" customHeight="1">
      <c r="B263" s="497" t="s">
        <v>420</v>
      </c>
      <c r="C263" s="357">
        <v>134.662</v>
      </c>
      <c r="D263" s="357">
        <f t="shared" si="4"/>
        <v>500.00001</v>
      </c>
      <c r="E263" s="193"/>
    </row>
    <row r="264" spans="2:5" ht="15.75" customHeight="1">
      <c r="B264" s="497" t="s">
        <v>421</v>
      </c>
      <c r="C264" s="357">
        <v>134.662</v>
      </c>
      <c r="D264" s="357">
        <f t="shared" si="4"/>
        <v>500.00001</v>
      </c>
      <c r="E264" s="193"/>
    </row>
    <row r="265" spans="2:5" ht="15.75" customHeight="1">
      <c r="B265" s="497" t="s">
        <v>365</v>
      </c>
      <c r="C265" s="357">
        <v>133.41572</v>
      </c>
      <c r="D265" s="357">
        <f t="shared" si="4"/>
        <v>495.37257</v>
      </c>
      <c r="E265" s="193"/>
    </row>
    <row r="266" spans="2:5" ht="15.75" customHeight="1">
      <c r="B266" s="497" t="s">
        <v>315</v>
      </c>
      <c r="C266" s="357">
        <v>128.53194</v>
      </c>
      <c r="D266" s="357">
        <f t="shared" si="4"/>
        <v>477.23909</v>
      </c>
      <c r="E266" s="193"/>
    </row>
    <row r="267" spans="2:5" ht="15.75" customHeight="1">
      <c r="B267" s="497" t="s">
        <v>305</v>
      </c>
      <c r="C267" s="357">
        <v>125.77623</v>
      </c>
      <c r="D267" s="357">
        <f t="shared" si="4"/>
        <v>467.00714</v>
      </c>
      <c r="E267" s="193"/>
    </row>
    <row r="268" spans="2:5" ht="15.75" customHeight="1">
      <c r="B268" s="497" t="s">
        <v>386</v>
      </c>
      <c r="C268" s="357">
        <v>123.30443</v>
      </c>
      <c r="D268" s="357">
        <f t="shared" si="4"/>
        <v>457.82935</v>
      </c>
      <c r="E268" s="193"/>
    </row>
    <row r="269" spans="2:5" ht="15.75" customHeight="1">
      <c r="B269" s="497" t="s">
        <v>377</v>
      </c>
      <c r="C269" s="357">
        <v>122.46149000000001</v>
      </c>
      <c r="D269" s="357">
        <f t="shared" si="4"/>
        <v>454.69951</v>
      </c>
      <c r="E269" s="193"/>
    </row>
    <row r="270" spans="2:9" ht="15.75" customHeight="1">
      <c r="B270" s="497" t="s">
        <v>422</v>
      </c>
      <c r="C270" s="357">
        <v>121.26833</v>
      </c>
      <c r="D270" s="357">
        <f t="shared" si="4"/>
        <v>450.26931</v>
      </c>
      <c r="E270" s="193"/>
      <c r="H270" s="77"/>
      <c r="I270" s="77"/>
    </row>
    <row r="271" spans="2:9" ht="15.75" customHeight="1">
      <c r="B271" s="497" t="s">
        <v>352</v>
      </c>
      <c r="C271" s="357">
        <v>119.97472</v>
      </c>
      <c r="D271" s="357">
        <f t="shared" si="4"/>
        <v>445.46614</v>
      </c>
      <c r="E271" s="193"/>
      <c r="H271" s="77"/>
      <c r="I271" s="77"/>
    </row>
    <row r="272" spans="2:9" ht="15.75" customHeight="1">
      <c r="B272" s="497" t="s">
        <v>423</v>
      </c>
      <c r="C272" s="357">
        <v>115.12603999999999</v>
      </c>
      <c r="D272" s="357">
        <f t="shared" si="4"/>
        <v>427.46299</v>
      </c>
      <c r="E272" s="193"/>
      <c r="H272" s="77"/>
      <c r="I272" s="77"/>
    </row>
    <row r="273" spans="2:9" ht="15.75" customHeight="1">
      <c r="B273" s="497" t="s">
        <v>317</v>
      </c>
      <c r="C273" s="357">
        <v>107.54632000000001</v>
      </c>
      <c r="D273" s="357">
        <f t="shared" si="4"/>
        <v>399.31949</v>
      </c>
      <c r="E273" s="193"/>
      <c r="H273" s="77"/>
      <c r="I273" s="77"/>
    </row>
    <row r="274" spans="2:9" ht="15.75" customHeight="1">
      <c r="B274" s="497" t="s">
        <v>366</v>
      </c>
      <c r="C274" s="357">
        <v>106.705</v>
      </c>
      <c r="D274" s="357">
        <f t="shared" si="4"/>
        <v>396.19567</v>
      </c>
      <c r="E274" s="193"/>
      <c r="H274" s="77"/>
      <c r="I274" s="77"/>
    </row>
    <row r="275" spans="2:9" ht="15.75" customHeight="1">
      <c r="B275" s="497" t="s">
        <v>304</v>
      </c>
      <c r="C275" s="357">
        <v>106.13741999999999</v>
      </c>
      <c r="D275" s="357">
        <f t="shared" si="4"/>
        <v>394.08824</v>
      </c>
      <c r="E275" s="193"/>
      <c r="H275" s="77"/>
      <c r="I275" s="77"/>
    </row>
    <row r="276" spans="2:9" ht="15.75" customHeight="1">
      <c r="B276" s="497" t="s">
        <v>424</v>
      </c>
      <c r="C276" s="357">
        <v>105.63964999999999</v>
      </c>
      <c r="D276" s="357">
        <f t="shared" si="4"/>
        <v>392.24002</v>
      </c>
      <c r="E276" s="193"/>
      <c r="H276" s="77"/>
      <c r="I276" s="77"/>
    </row>
    <row r="277" spans="2:9" ht="15.75" customHeight="1">
      <c r="B277" s="497" t="s">
        <v>367</v>
      </c>
      <c r="C277" s="357">
        <v>102.08641</v>
      </c>
      <c r="D277" s="357">
        <f t="shared" si="4"/>
        <v>379.04684</v>
      </c>
      <c r="E277" s="193"/>
      <c r="H277" s="77"/>
      <c r="I277" s="77"/>
    </row>
    <row r="278" spans="2:9" ht="15.75" customHeight="1">
      <c r="B278" s="497" t="s">
        <v>425</v>
      </c>
      <c r="C278" s="357">
        <v>101.39252</v>
      </c>
      <c r="D278" s="357">
        <f t="shared" si="4"/>
        <v>376.47043</v>
      </c>
      <c r="E278" s="193"/>
      <c r="H278" s="77"/>
      <c r="I278" s="77"/>
    </row>
    <row r="279" spans="2:5" ht="15.75" customHeight="1">
      <c r="B279" s="468" t="s">
        <v>94</v>
      </c>
      <c r="C279" s="357">
        <v>1240.0864199999996</v>
      </c>
      <c r="D279" s="357">
        <f t="shared" si="4"/>
        <v>4604.44088</v>
      </c>
      <c r="E279" s="193"/>
    </row>
    <row r="280" spans="2:5" ht="12" customHeight="1">
      <c r="B280" s="468"/>
      <c r="C280" s="357"/>
      <c r="D280" s="357"/>
      <c r="E280" s="193"/>
    </row>
    <row r="281" spans="2:5" ht="15.75" customHeight="1">
      <c r="B281" s="470" t="s">
        <v>238</v>
      </c>
      <c r="C281" s="95">
        <v>0</v>
      </c>
      <c r="D281" s="95">
        <v>0</v>
      </c>
      <c r="E281" s="193"/>
    </row>
    <row r="282" spans="2:5" ht="9.75" customHeight="1">
      <c r="B282" s="81"/>
      <c r="C282" s="358"/>
      <c r="D282" s="360"/>
      <c r="E282" s="193"/>
    </row>
    <row r="283" spans="2:5" ht="16.5" customHeight="1">
      <c r="B283" s="563" t="s">
        <v>14</v>
      </c>
      <c r="C283" s="565">
        <f>+C187+C190</f>
        <v>31957.026120000006</v>
      </c>
      <c r="D283" s="565">
        <f>+D187+D190</f>
        <v>118656.43801999997</v>
      </c>
      <c r="E283" s="193"/>
    </row>
    <row r="284" spans="2:5" ht="16.5" customHeight="1">
      <c r="B284" s="564"/>
      <c r="C284" s="566"/>
      <c r="D284" s="566"/>
      <c r="E284" s="193"/>
    </row>
    <row r="285" spans="2:5" ht="7.5" customHeight="1">
      <c r="B285" s="105"/>
      <c r="C285" s="83"/>
      <c r="D285" s="83"/>
      <c r="E285" s="193"/>
    </row>
    <row r="286" spans="2:6" s="77" customFormat="1" ht="18" customHeight="1">
      <c r="B286" s="486" t="s">
        <v>426</v>
      </c>
      <c r="C286" s="484"/>
      <c r="D286" s="193"/>
      <c r="E286" s="193"/>
      <c r="F286" s="75"/>
    </row>
    <row r="287" spans="2:6" s="77" customFormat="1" ht="4.5" customHeight="1">
      <c r="B287" s="462"/>
      <c r="C287" s="473"/>
      <c r="D287" s="193"/>
      <c r="E287" s="193"/>
      <c r="F287" s="75"/>
    </row>
    <row r="288" spans="2:6" s="74" customFormat="1" ht="15.75">
      <c r="B288" s="485" t="s">
        <v>159</v>
      </c>
      <c r="C288" s="416"/>
      <c r="D288" s="417"/>
      <c r="E288" s="193"/>
      <c r="F288" s="75"/>
    </row>
    <row r="289" spans="2:5" ht="15.75" customHeight="1">
      <c r="B289" s="464" t="s">
        <v>225</v>
      </c>
      <c r="C289" s="418"/>
      <c r="D289" s="418"/>
      <c r="E289" s="193"/>
    </row>
    <row r="290" spans="2:5" ht="12.75" customHeight="1">
      <c r="B290" s="414"/>
      <c r="C290" s="419"/>
      <c r="D290" s="419"/>
      <c r="E290" s="193"/>
    </row>
    <row r="291" spans="2:5" ht="12.75" customHeight="1">
      <c r="B291" s="414"/>
      <c r="C291" s="417"/>
      <c r="D291" s="417"/>
      <c r="E291" s="193"/>
    </row>
    <row r="292" spans="2:5" ht="15">
      <c r="B292" s="414"/>
      <c r="C292" s="420"/>
      <c r="D292" s="420"/>
      <c r="E292" s="193"/>
    </row>
    <row r="293" spans="2:5" ht="15">
      <c r="B293" s="414"/>
      <c r="C293" s="414"/>
      <c r="D293" s="414"/>
      <c r="E293" s="193"/>
    </row>
    <row r="294" spans="2:5" ht="15">
      <c r="B294" s="414"/>
      <c r="C294" s="414"/>
      <c r="D294" s="420"/>
      <c r="E294" s="193"/>
    </row>
    <row r="295" spans="2:5" ht="15">
      <c r="B295" s="414"/>
      <c r="C295" s="421"/>
      <c r="D295" s="414"/>
      <c r="E295" s="193"/>
    </row>
    <row r="296" spans="2:5" ht="15">
      <c r="B296" s="414"/>
      <c r="C296" s="414"/>
      <c r="D296" s="415"/>
      <c r="E296" s="193"/>
    </row>
    <row r="297" spans="2:5" ht="15">
      <c r="B297" s="414"/>
      <c r="C297" s="414"/>
      <c r="D297" s="414"/>
      <c r="E297" s="193"/>
    </row>
    <row r="298" spans="2:5" ht="15">
      <c r="B298" s="414"/>
      <c r="C298" s="414"/>
      <c r="D298" s="414"/>
      <c r="E298" s="193"/>
    </row>
    <row r="299" spans="2:5" ht="15">
      <c r="B299" s="414"/>
      <c r="C299" s="414"/>
      <c r="D299" s="414"/>
      <c r="E299" s="193"/>
    </row>
    <row r="300" spans="2:5" ht="15">
      <c r="B300" s="414"/>
      <c r="C300" s="414"/>
      <c r="D300" s="414"/>
      <c r="E300" s="193"/>
    </row>
    <row r="301" ht="15">
      <c r="E301" s="193"/>
    </row>
    <row r="302" ht="15">
      <c r="E302" s="193"/>
    </row>
    <row r="303" ht="15">
      <c r="E303" s="193"/>
    </row>
    <row r="304" ht="15">
      <c r="E304" s="193"/>
    </row>
    <row r="305" ht="15">
      <c r="E305" s="193"/>
    </row>
    <row r="306" ht="15">
      <c r="E306" s="193"/>
    </row>
    <row r="307" ht="15">
      <c r="E307" s="193"/>
    </row>
    <row r="308" ht="15">
      <c r="E308" s="193"/>
    </row>
    <row r="309" ht="15">
      <c r="E309" s="193"/>
    </row>
    <row r="310" ht="15">
      <c r="E310" s="193"/>
    </row>
  </sheetData>
  <sheetProtection/>
  <mergeCells count="14">
    <mergeCell ref="B11:B13"/>
    <mergeCell ref="C11:C13"/>
    <mergeCell ref="D11:D13"/>
    <mergeCell ref="D165:D166"/>
    <mergeCell ref="B165:B166"/>
    <mergeCell ref="C165:C166"/>
    <mergeCell ref="B283:B284"/>
    <mergeCell ref="C283:C284"/>
    <mergeCell ref="D283:D284"/>
    <mergeCell ref="B172:D172"/>
    <mergeCell ref="B183:B185"/>
    <mergeCell ref="C183:C185"/>
    <mergeCell ref="D183:D185"/>
    <mergeCell ref="B173:D1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2"/>
      <c r="P4" s="422"/>
      <c r="Q4" s="422"/>
      <c r="R4" s="422"/>
      <c r="S4" s="422"/>
      <c r="T4" s="422"/>
      <c r="U4" s="422"/>
      <c r="V4" s="422"/>
    </row>
    <row r="5" spans="2:22" ht="18" customHeight="1">
      <c r="B5" s="583" t="s">
        <v>98</v>
      </c>
      <c r="C5" s="583"/>
      <c r="D5" s="583"/>
      <c r="I5" s="136"/>
      <c r="O5" s="422"/>
      <c r="P5" s="422"/>
      <c r="Q5" s="422"/>
      <c r="R5" s="422"/>
      <c r="S5" s="422"/>
      <c r="T5" s="422"/>
      <c r="U5" s="422"/>
      <c r="V5" s="422"/>
    </row>
    <row r="6" spans="2:22" ht="19.5">
      <c r="B6" s="137" t="s">
        <v>248</v>
      </c>
      <c r="C6" s="138"/>
      <c r="D6" s="138"/>
      <c r="M6" s="452" t="s">
        <v>133</v>
      </c>
      <c r="O6" s="422"/>
      <c r="P6" s="422"/>
      <c r="Q6" s="422"/>
      <c r="R6" s="422"/>
      <c r="S6" s="422"/>
      <c r="T6" s="422"/>
      <c r="U6" s="422"/>
      <c r="V6" s="422"/>
    </row>
    <row r="7" spans="2:22" ht="18">
      <c r="B7" s="138" t="s">
        <v>78</v>
      </c>
      <c r="C7" s="136"/>
      <c r="D7" s="136"/>
      <c r="O7" s="422"/>
      <c r="P7" s="422"/>
      <c r="Q7" s="422"/>
      <c r="R7" s="422"/>
      <c r="S7" s="422"/>
      <c r="T7" s="422"/>
      <c r="U7" s="422"/>
      <c r="V7" s="422"/>
    </row>
    <row r="8" spans="2:22" ht="16.5">
      <c r="B8" s="140" t="s">
        <v>160</v>
      </c>
      <c r="C8" s="136"/>
      <c r="D8" s="136"/>
      <c r="O8" s="422"/>
      <c r="P8" s="422"/>
      <c r="Q8" s="422"/>
      <c r="R8" s="422"/>
      <c r="S8" s="422"/>
      <c r="T8" s="422"/>
      <c r="U8" s="422"/>
      <c r="V8" s="422"/>
    </row>
    <row r="9" spans="2:22" ht="16.5">
      <c r="B9" s="136" t="s">
        <v>428</v>
      </c>
      <c r="C9" s="136"/>
      <c r="D9" s="136"/>
      <c r="F9" s="140"/>
      <c r="L9" s="141"/>
      <c r="O9" s="422"/>
      <c r="P9" s="422"/>
      <c r="Q9" s="422"/>
      <c r="R9" s="422"/>
      <c r="S9" s="422"/>
      <c r="T9" s="422"/>
      <c r="U9" s="422"/>
      <c r="V9" s="422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3"/>
      <c r="P10" s="423"/>
      <c r="Q10" s="423"/>
      <c r="R10" s="423"/>
      <c r="S10" s="423"/>
      <c r="T10" s="423"/>
      <c r="U10" s="423"/>
      <c r="V10" s="423"/>
    </row>
    <row r="11" ht="9.75" customHeight="1"/>
    <row r="12" spans="2:13" s="146" customFormat="1" ht="19.5" customHeight="1">
      <c r="B12" s="597" t="s">
        <v>93</v>
      </c>
      <c r="C12" s="598"/>
      <c r="D12" s="165"/>
      <c r="E12" s="594" t="s">
        <v>91</v>
      </c>
      <c r="F12" s="595"/>
      <c r="G12" s="596"/>
      <c r="H12" s="594" t="s">
        <v>92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4"/>
      <c r="F14" s="365"/>
      <c r="G14" s="474"/>
      <c r="H14" s="365"/>
      <c r="I14" s="365"/>
      <c r="J14" s="366"/>
      <c r="K14" s="364"/>
      <c r="L14" s="365"/>
      <c r="M14" s="366"/>
    </row>
    <row r="15" spans="2:24" ht="15" customHeight="1">
      <c r="B15" s="482">
        <v>2024</v>
      </c>
      <c r="C15" s="483"/>
      <c r="D15" s="167"/>
      <c r="E15" s="363">
        <v>4509.95068</v>
      </c>
      <c r="F15" s="361">
        <v>1252.0156</v>
      </c>
      <c r="G15" s="361">
        <f aca="true" t="shared" si="0" ref="G15:G34">+F15+E15</f>
        <v>5761.96628</v>
      </c>
      <c r="H15" s="363">
        <v>180875.18953</v>
      </c>
      <c r="I15" s="361">
        <f>26703.42995+28167.89584</f>
        <v>54871.32579</v>
      </c>
      <c r="J15" s="362">
        <f aca="true" t="shared" si="1" ref="J15:J30">+H15+I15</f>
        <v>235746.51532</v>
      </c>
      <c r="K15" s="363">
        <f aca="true" t="shared" si="2" ref="K15:K30">+E15+H15</f>
        <v>185385.14021</v>
      </c>
      <c r="L15" s="361">
        <f aca="true" t="shared" si="3" ref="L15:L30">+F15+I15</f>
        <v>56123.34139</v>
      </c>
      <c r="M15" s="362">
        <f aca="true" t="shared" si="4" ref="M15:M30">+K15+L15</f>
        <v>241508.4816</v>
      </c>
      <c r="P15" s="153"/>
      <c r="X15" s="154"/>
    </row>
    <row r="16" spans="2:24" ht="15" customHeight="1">
      <c r="B16" s="482">
        <f aca="true" t="shared" si="5" ref="B16:B34">+B15+1</f>
        <v>2025</v>
      </c>
      <c r="C16" s="483"/>
      <c r="D16" s="167"/>
      <c r="E16" s="363">
        <v>4509.95068</v>
      </c>
      <c r="F16" s="361">
        <v>956.09372</v>
      </c>
      <c r="G16" s="361">
        <f t="shared" si="0"/>
        <v>5466.0444</v>
      </c>
      <c r="H16" s="363">
        <v>100070.31435</v>
      </c>
      <c r="I16" s="361">
        <f>20052.49231+29208.18745</f>
        <v>49260.67976</v>
      </c>
      <c r="J16" s="362">
        <f t="shared" si="1"/>
        <v>149330.99411</v>
      </c>
      <c r="K16" s="363">
        <f t="shared" si="2"/>
        <v>104580.26503</v>
      </c>
      <c r="L16" s="361">
        <f t="shared" si="3"/>
        <v>50216.773479999996</v>
      </c>
      <c r="M16" s="362">
        <f t="shared" si="4"/>
        <v>154797.03850999998</v>
      </c>
      <c r="P16" s="153"/>
      <c r="X16" s="154"/>
    </row>
    <row r="17" spans="2:24" ht="15" customHeight="1">
      <c r="B17" s="482">
        <f t="shared" si="5"/>
        <v>2026</v>
      </c>
      <c r="C17" s="483"/>
      <c r="D17" s="167"/>
      <c r="E17" s="363">
        <v>4509.95068</v>
      </c>
      <c r="F17" s="361">
        <v>692.51939</v>
      </c>
      <c r="G17" s="361">
        <f t="shared" si="0"/>
        <v>5202.47007</v>
      </c>
      <c r="H17" s="363">
        <f>167765.0181+10772.95987</f>
        <v>178537.97796999998</v>
      </c>
      <c r="I17" s="361">
        <f>17493.07377+28965.13177</f>
        <v>46458.205539999995</v>
      </c>
      <c r="J17" s="362">
        <f t="shared" si="1"/>
        <v>224996.18350999997</v>
      </c>
      <c r="K17" s="363">
        <f t="shared" si="2"/>
        <v>183047.92865</v>
      </c>
      <c r="L17" s="361">
        <f t="shared" si="3"/>
        <v>47150.72493</v>
      </c>
      <c r="M17" s="362">
        <f t="shared" si="4"/>
        <v>230198.65357999998</v>
      </c>
      <c r="P17" s="153"/>
      <c r="X17" s="154"/>
    </row>
    <row r="18" spans="2:24" ht="15" customHeight="1">
      <c r="B18" s="482">
        <f t="shared" si="5"/>
        <v>2027</v>
      </c>
      <c r="C18" s="483"/>
      <c r="D18" s="167"/>
      <c r="E18" s="363">
        <v>4509.95068</v>
      </c>
      <c r="F18" s="361">
        <v>474.72209</v>
      </c>
      <c r="G18" s="361">
        <f t="shared" si="0"/>
        <v>4984.67277</v>
      </c>
      <c r="H18" s="363">
        <f>51611.58946+13466.19984</f>
        <v>65077.789300000004</v>
      </c>
      <c r="I18" s="361">
        <f>8408.93504+27934.80146</f>
        <v>36343.7365</v>
      </c>
      <c r="J18" s="362">
        <f t="shared" si="1"/>
        <v>101421.5258</v>
      </c>
      <c r="K18" s="363">
        <f t="shared" si="2"/>
        <v>69587.73998</v>
      </c>
      <c r="L18" s="361">
        <f t="shared" si="3"/>
        <v>36818.45859</v>
      </c>
      <c r="M18" s="362">
        <f t="shared" si="4"/>
        <v>106406.19857000001</v>
      </c>
      <c r="P18" s="153"/>
      <c r="X18" s="154"/>
    </row>
    <row r="19" spans="2:24" ht="15" customHeight="1">
      <c r="B19" s="482">
        <f t="shared" si="5"/>
        <v>2028</v>
      </c>
      <c r="C19" s="483"/>
      <c r="D19" s="167"/>
      <c r="E19" s="363">
        <v>4509.95068</v>
      </c>
      <c r="F19" s="361">
        <v>264.08716</v>
      </c>
      <c r="G19" s="361">
        <f t="shared" si="0"/>
        <v>4774.03784</v>
      </c>
      <c r="H19" s="363">
        <f>42732.20129+13466.19984</f>
        <v>56198.40113</v>
      </c>
      <c r="I19" s="361">
        <f>6893.84435+26796.88912</f>
        <v>33690.73347</v>
      </c>
      <c r="J19" s="362">
        <f t="shared" si="1"/>
        <v>89889.13459999999</v>
      </c>
      <c r="K19" s="363">
        <f t="shared" si="2"/>
        <v>60708.35181</v>
      </c>
      <c r="L19" s="361">
        <f t="shared" si="3"/>
        <v>33954.82063</v>
      </c>
      <c r="M19" s="362">
        <f t="shared" si="4"/>
        <v>94663.17244</v>
      </c>
      <c r="P19" s="153"/>
      <c r="X19" s="154"/>
    </row>
    <row r="20" spans="2:24" ht="15" customHeight="1">
      <c r="B20" s="482">
        <f t="shared" si="5"/>
        <v>2029</v>
      </c>
      <c r="C20" s="483"/>
      <c r="D20" s="167"/>
      <c r="E20" s="363">
        <v>2254.97498</v>
      </c>
      <c r="F20" s="361">
        <v>53.00097</v>
      </c>
      <c r="G20" s="361">
        <f t="shared" si="0"/>
        <v>2307.97595</v>
      </c>
      <c r="H20" s="363">
        <f>41225.77586+17506.05979</f>
        <v>58731.83565</v>
      </c>
      <c r="I20" s="361">
        <f>5334.5675+25419.7396</f>
        <v>30754.3071</v>
      </c>
      <c r="J20" s="362">
        <f t="shared" si="1"/>
        <v>89486.14275</v>
      </c>
      <c r="K20" s="363">
        <f t="shared" si="2"/>
        <v>60986.81063</v>
      </c>
      <c r="L20" s="361">
        <f t="shared" si="3"/>
        <v>30807.308070000003</v>
      </c>
      <c r="M20" s="362">
        <f t="shared" si="4"/>
        <v>91794.1187</v>
      </c>
      <c r="P20" s="153"/>
      <c r="X20" s="154"/>
    </row>
    <row r="21" spans="2:24" ht="15" customHeight="1">
      <c r="B21" s="482">
        <f t="shared" si="5"/>
        <v>2030</v>
      </c>
      <c r="C21" s="483"/>
      <c r="D21" s="167"/>
      <c r="E21" s="363">
        <v>0</v>
      </c>
      <c r="F21" s="361">
        <v>0</v>
      </c>
      <c r="G21" s="361">
        <f t="shared" si="0"/>
        <v>0</v>
      </c>
      <c r="H21" s="363">
        <f>31523.3466+17506.05979</f>
        <v>49029.406390000004</v>
      </c>
      <c r="I21" s="361">
        <f>4170.42199+23844.19422</f>
        <v>28014.61621</v>
      </c>
      <c r="J21" s="362">
        <f t="shared" si="1"/>
        <v>77044.0226</v>
      </c>
      <c r="K21" s="363">
        <f t="shared" si="2"/>
        <v>49029.406390000004</v>
      </c>
      <c r="L21" s="361">
        <f t="shared" si="3"/>
        <v>28014.61621</v>
      </c>
      <c r="M21" s="362">
        <f t="shared" si="4"/>
        <v>77044.0226</v>
      </c>
      <c r="P21" s="153"/>
      <c r="X21" s="154"/>
    </row>
    <row r="22" spans="2:24" ht="15" customHeight="1">
      <c r="B22" s="482">
        <f t="shared" si="5"/>
        <v>2031</v>
      </c>
      <c r="C22" s="483"/>
      <c r="D22" s="167"/>
      <c r="E22" s="363">
        <v>0</v>
      </c>
      <c r="F22" s="361">
        <v>0</v>
      </c>
      <c r="G22" s="361">
        <f t="shared" si="0"/>
        <v>0</v>
      </c>
      <c r="H22" s="363">
        <f>28698.82745+17506.05979</f>
        <v>46204.88724</v>
      </c>
      <c r="I22" s="361">
        <f>3117.72562+22268.64884</f>
        <v>25386.374460000003</v>
      </c>
      <c r="J22" s="362">
        <f t="shared" si="1"/>
        <v>71591.2617</v>
      </c>
      <c r="K22" s="363">
        <f t="shared" si="2"/>
        <v>46204.88724</v>
      </c>
      <c r="L22" s="361">
        <f t="shared" si="3"/>
        <v>25386.374460000003</v>
      </c>
      <c r="M22" s="362">
        <f t="shared" si="4"/>
        <v>71591.2617</v>
      </c>
      <c r="P22" s="153"/>
      <c r="X22" s="154"/>
    </row>
    <row r="23" spans="2:24" ht="15" customHeight="1">
      <c r="B23" s="482">
        <f t="shared" si="5"/>
        <v>2032</v>
      </c>
      <c r="C23" s="483"/>
      <c r="D23" s="167"/>
      <c r="E23" s="363">
        <v>0</v>
      </c>
      <c r="F23" s="361">
        <v>0</v>
      </c>
      <c r="G23" s="361">
        <f t="shared" si="0"/>
        <v>0</v>
      </c>
      <c r="H23" s="363">
        <f>26218.05216+17506.05979</f>
        <v>43724.11195</v>
      </c>
      <c r="I23" s="361">
        <f>3984.27382+20750.87899</f>
        <v>24735.15281</v>
      </c>
      <c r="J23" s="362">
        <f t="shared" si="1"/>
        <v>68459.26475999999</v>
      </c>
      <c r="K23" s="363">
        <f t="shared" si="2"/>
        <v>43724.11195</v>
      </c>
      <c r="L23" s="361">
        <f t="shared" si="3"/>
        <v>24735.15281</v>
      </c>
      <c r="M23" s="362">
        <f t="shared" si="4"/>
        <v>68459.26475999999</v>
      </c>
      <c r="P23" s="153"/>
      <c r="X23" s="154"/>
    </row>
    <row r="24" spans="2:24" ht="15" customHeight="1">
      <c r="B24" s="482">
        <f t="shared" si="5"/>
        <v>2033</v>
      </c>
      <c r="C24" s="483"/>
      <c r="D24" s="167"/>
      <c r="E24" s="363">
        <v>0</v>
      </c>
      <c r="F24" s="361">
        <v>0</v>
      </c>
      <c r="G24" s="361">
        <f t="shared" si="0"/>
        <v>0</v>
      </c>
      <c r="H24" s="363">
        <f>11980.48204+17506.05979</f>
        <v>29486.541830000002</v>
      </c>
      <c r="I24" s="361">
        <f>1158.1608+19117.55808</f>
        <v>20275.71888</v>
      </c>
      <c r="J24" s="362">
        <f t="shared" si="1"/>
        <v>49762.26071</v>
      </c>
      <c r="K24" s="363">
        <f t="shared" si="2"/>
        <v>29486.541830000002</v>
      </c>
      <c r="L24" s="361">
        <f t="shared" si="3"/>
        <v>20275.71888</v>
      </c>
      <c r="M24" s="362">
        <f t="shared" si="4"/>
        <v>49762.26071</v>
      </c>
      <c r="P24" s="153"/>
      <c r="X24" s="154"/>
    </row>
    <row r="25" spans="2:24" ht="15" customHeight="1">
      <c r="B25" s="482">
        <f t="shared" si="5"/>
        <v>2034</v>
      </c>
      <c r="C25" s="483"/>
      <c r="D25" s="167"/>
      <c r="E25" s="363">
        <v>0</v>
      </c>
      <c r="F25" s="361">
        <v>0</v>
      </c>
      <c r="G25" s="361">
        <f t="shared" si="0"/>
        <v>0</v>
      </c>
      <c r="H25" s="363">
        <f>9680.78537+17506.05979</f>
        <v>27186.845159999997</v>
      </c>
      <c r="I25" s="361">
        <f>746.48713+17542.0127</f>
        <v>18288.49983</v>
      </c>
      <c r="J25" s="362">
        <f t="shared" si="1"/>
        <v>45475.34499</v>
      </c>
      <c r="K25" s="363">
        <f t="shared" si="2"/>
        <v>27186.845159999997</v>
      </c>
      <c r="L25" s="361">
        <f t="shared" si="3"/>
        <v>18288.49983</v>
      </c>
      <c r="M25" s="362">
        <f t="shared" si="4"/>
        <v>45475.34499</v>
      </c>
      <c r="P25" s="153"/>
      <c r="X25" s="154"/>
    </row>
    <row r="26" spans="2:24" ht="15" customHeight="1">
      <c r="B26" s="482">
        <f t="shared" si="5"/>
        <v>2035</v>
      </c>
      <c r="C26" s="483"/>
      <c r="D26" s="167"/>
      <c r="E26" s="363">
        <v>0</v>
      </c>
      <c r="F26" s="361">
        <v>0</v>
      </c>
      <c r="G26" s="361">
        <f t="shared" si="0"/>
        <v>0</v>
      </c>
      <c r="H26" s="363">
        <f>9890.14003+17506.05979</f>
        <v>27396.19982</v>
      </c>
      <c r="I26" s="361">
        <f>345.09186+15966.46732</f>
        <v>16311.55918</v>
      </c>
      <c r="J26" s="362">
        <f t="shared" si="1"/>
        <v>43707.759000000005</v>
      </c>
      <c r="K26" s="363">
        <f t="shared" si="2"/>
        <v>27396.19982</v>
      </c>
      <c r="L26" s="361">
        <f t="shared" si="3"/>
        <v>16311.55918</v>
      </c>
      <c r="M26" s="362">
        <f t="shared" si="4"/>
        <v>43707.759000000005</v>
      </c>
      <c r="P26" s="153"/>
      <c r="X26" s="154"/>
    </row>
    <row r="27" spans="2:24" ht="15" customHeight="1">
      <c r="B27" s="482">
        <f t="shared" si="5"/>
        <v>2036</v>
      </c>
      <c r="C27" s="483"/>
      <c r="D27" s="167"/>
      <c r="E27" s="363">
        <v>0</v>
      </c>
      <c r="F27" s="361">
        <v>0</v>
      </c>
      <c r="G27" s="361">
        <f t="shared" si="0"/>
        <v>0</v>
      </c>
      <c r="H27" s="363">
        <f>1493.30649+17506.05979</f>
        <v>18999.36628</v>
      </c>
      <c r="I27" s="361">
        <f>36.58784+14431.43122</f>
        <v>14468.01906</v>
      </c>
      <c r="J27" s="362">
        <f t="shared" si="1"/>
        <v>33467.38534</v>
      </c>
      <c r="K27" s="363">
        <f t="shared" si="2"/>
        <v>18999.36628</v>
      </c>
      <c r="L27" s="361">
        <f t="shared" si="3"/>
        <v>14468.01906</v>
      </c>
      <c r="M27" s="362">
        <f t="shared" si="4"/>
        <v>33467.38534</v>
      </c>
      <c r="P27" s="153"/>
      <c r="X27" s="154"/>
    </row>
    <row r="28" spans="2:24" ht="15" customHeight="1">
      <c r="B28" s="482">
        <f t="shared" si="5"/>
        <v>2037</v>
      </c>
      <c r="C28" s="483"/>
      <c r="D28" s="167"/>
      <c r="E28" s="363">
        <v>0</v>
      </c>
      <c r="F28" s="361">
        <v>0</v>
      </c>
      <c r="G28" s="361">
        <f t="shared" si="0"/>
        <v>0</v>
      </c>
      <c r="H28" s="363">
        <f>592.27093+17506.05979</f>
        <v>18098.330719999998</v>
      </c>
      <c r="I28" s="361">
        <f>22.73317+12815.37656</f>
        <v>12838.10973</v>
      </c>
      <c r="J28" s="362">
        <f t="shared" si="1"/>
        <v>30936.44045</v>
      </c>
      <c r="K28" s="363">
        <f t="shared" si="2"/>
        <v>18098.330719999998</v>
      </c>
      <c r="L28" s="361">
        <f t="shared" si="3"/>
        <v>12838.10973</v>
      </c>
      <c r="M28" s="362">
        <f t="shared" si="4"/>
        <v>30936.44045</v>
      </c>
      <c r="P28" s="153"/>
      <c r="X28" s="154"/>
    </row>
    <row r="29" spans="2:24" ht="15" customHeight="1">
      <c r="B29" s="482">
        <f t="shared" si="5"/>
        <v>2038</v>
      </c>
      <c r="C29" s="483"/>
      <c r="D29" s="167"/>
      <c r="E29" s="363">
        <v>0</v>
      </c>
      <c r="F29" s="361">
        <v>0</v>
      </c>
      <c r="G29" s="361">
        <f t="shared" si="0"/>
        <v>0</v>
      </c>
      <c r="H29" s="363">
        <f>550.16122+17506.05979</f>
        <v>18056.22101</v>
      </c>
      <c r="I29" s="361">
        <f>16.67099+11239.83117</f>
        <v>11256.50216</v>
      </c>
      <c r="J29" s="362">
        <f t="shared" si="1"/>
        <v>29312.72317</v>
      </c>
      <c r="K29" s="363">
        <f t="shared" si="2"/>
        <v>18056.22101</v>
      </c>
      <c r="L29" s="361">
        <f t="shared" si="3"/>
        <v>11256.50216</v>
      </c>
      <c r="M29" s="362">
        <f t="shared" si="4"/>
        <v>29312.72317</v>
      </c>
      <c r="P29" s="153"/>
      <c r="X29" s="154"/>
    </row>
    <row r="30" spans="2:24" ht="15" customHeight="1">
      <c r="B30" s="482">
        <f t="shared" si="5"/>
        <v>2039</v>
      </c>
      <c r="C30" s="483"/>
      <c r="D30" s="167"/>
      <c r="E30" s="363">
        <v>0</v>
      </c>
      <c r="F30" s="361">
        <v>0</v>
      </c>
      <c r="G30" s="361">
        <f t="shared" si="0"/>
        <v>0</v>
      </c>
      <c r="H30" s="363">
        <f>454.64244+21545.91974</f>
        <v>22000.56218</v>
      </c>
      <c r="I30" s="361">
        <f>10.60881+9573.13991</f>
        <v>9583.74872</v>
      </c>
      <c r="J30" s="362">
        <f t="shared" si="1"/>
        <v>31584.3109</v>
      </c>
      <c r="K30" s="363">
        <f t="shared" si="2"/>
        <v>22000.56218</v>
      </c>
      <c r="L30" s="361">
        <f t="shared" si="3"/>
        <v>9583.74872</v>
      </c>
      <c r="M30" s="362">
        <f t="shared" si="4"/>
        <v>31584.3109</v>
      </c>
      <c r="P30" s="153"/>
      <c r="X30" s="154"/>
    </row>
    <row r="31" spans="2:24" ht="15" customHeight="1">
      <c r="B31" s="482">
        <f t="shared" si="5"/>
        <v>2040</v>
      </c>
      <c r="C31" s="483"/>
      <c r="D31" s="167"/>
      <c r="E31" s="363">
        <v>0</v>
      </c>
      <c r="F31" s="361">
        <v>0</v>
      </c>
      <c r="G31" s="361">
        <f>+F31+E31</f>
        <v>0</v>
      </c>
      <c r="H31" s="363">
        <f>423.17377+21545.91974</f>
        <v>21969.093510000002</v>
      </c>
      <c r="I31" s="361">
        <f>4.54663+7656.25403</f>
        <v>7660.80066</v>
      </c>
      <c r="J31" s="362">
        <f>+H31+I31</f>
        <v>29629.894170000003</v>
      </c>
      <c r="K31" s="363">
        <f aca="true" t="shared" si="6" ref="K31:L34">+E31+H31</f>
        <v>21969.093510000002</v>
      </c>
      <c r="L31" s="361">
        <f t="shared" si="6"/>
        <v>7660.80066</v>
      </c>
      <c r="M31" s="362">
        <f>+K31+L31</f>
        <v>29629.894170000003</v>
      </c>
      <c r="P31" s="153"/>
      <c r="X31" s="154"/>
    </row>
    <row r="32" spans="2:24" ht="15" customHeight="1">
      <c r="B32" s="482">
        <f t="shared" si="5"/>
        <v>2041</v>
      </c>
      <c r="C32" s="483"/>
      <c r="D32" s="167"/>
      <c r="E32" s="363">
        <v>0</v>
      </c>
      <c r="F32" s="361">
        <v>0</v>
      </c>
      <c r="G32" s="361">
        <f>+F32+E32</f>
        <v>0</v>
      </c>
      <c r="H32" s="363">
        <f>113.77044+21545.91974</f>
        <v>21659.69018</v>
      </c>
      <c r="I32" s="361">
        <v>5694.87436</v>
      </c>
      <c r="J32" s="362">
        <f>+H32+I32</f>
        <v>27354.56454</v>
      </c>
      <c r="K32" s="363">
        <f t="shared" si="6"/>
        <v>21659.69018</v>
      </c>
      <c r="L32" s="361">
        <f t="shared" si="6"/>
        <v>5694.87436</v>
      </c>
      <c r="M32" s="362">
        <f>+K32+L32</f>
        <v>27354.56454</v>
      </c>
      <c r="P32" s="153"/>
      <c r="X32" s="154"/>
    </row>
    <row r="33" spans="2:24" ht="15" customHeight="1">
      <c r="B33" s="482">
        <f t="shared" si="5"/>
        <v>2042</v>
      </c>
      <c r="C33" s="483"/>
      <c r="D33" s="167"/>
      <c r="E33" s="363">
        <v>0</v>
      </c>
      <c r="F33" s="361">
        <v>0</v>
      </c>
      <c r="G33" s="361">
        <f>+F33+E33</f>
        <v>0</v>
      </c>
      <c r="H33" s="363">
        <f>56.88522+21545.91974</f>
        <v>21602.80496</v>
      </c>
      <c r="I33" s="361">
        <v>3755.74158</v>
      </c>
      <c r="J33" s="362">
        <f>+H33+I33</f>
        <v>25358.546540000003</v>
      </c>
      <c r="K33" s="363">
        <f t="shared" si="6"/>
        <v>21602.80496</v>
      </c>
      <c r="L33" s="361">
        <f t="shared" si="6"/>
        <v>3755.74158</v>
      </c>
      <c r="M33" s="362">
        <f>+K33+L33</f>
        <v>25358.546540000003</v>
      </c>
      <c r="P33" s="153"/>
      <c r="X33" s="154"/>
    </row>
    <row r="34" spans="2:24" ht="15" customHeight="1">
      <c r="B34" s="482">
        <f t="shared" si="5"/>
        <v>2043</v>
      </c>
      <c r="C34" s="483"/>
      <c r="D34" s="167"/>
      <c r="E34" s="363">
        <v>0</v>
      </c>
      <c r="F34" s="361">
        <v>0</v>
      </c>
      <c r="G34" s="361">
        <f t="shared" si="0"/>
        <v>0</v>
      </c>
      <c r="H34" s="363">
        <f>9.48064+25585.77969</f>
        <v>25595.26033</v>
      </c>
      <c r="I34" s="361">
        <v>1725.46292</v>
      </c>
      <c r="J34" s="362">
        <f>+H34+I34</f>
        <v>27320.723250000003</v>
      </c>
      <c r="K34" s="363">
        <f t="shared" si="6"/>
        <v>25595.26033</v>
      </c>
      <c r="L34" s="361">
        <f t="shared" si="6"/>
        <v>1725.46292</v>
      </c>
      <c r="M34" s="362">
        <f>+K34+L34</f>
        <v>27320.723250000003</v>
      </c>
      <c r="P34" s="153"/>
      <c r="X34" s="154"/>
    </row>
    <row r="35" spans="2:13" ht="9.75" customHeight="1">
      <c r="B35" s="155"/>
      <c r="C35" s="156"/>
      <c r="D35" s="168"/>
      <c r="E35" s="367"/>
      <c r="F35" s="368"/>
      <c r="G35" s="369"/>
      <c r="H35" s="367"/>
      <c r="I35" s="368"/>
      <c r="J35" s="369"/>
      <c r="K35" s="367"/>
      <c r="L35" s="368"/>
      <c r="M35" s="369"/>
    </row>
    <row r="36" spans="2:13" ht="15" customHeight="1">
      <c r="B36" s="590" t="s">
        <v>14</v>
      </c>
      <c r="C36" s="591"/>
      <c r="D36" s="261"/>
      <c r="E36" s="584">
        <f aca="true" t="shared" si="7" ref="E36:M36">SUM(E15:E34)</f>
        <v>24804.72838</v>
      </c>
      <c r="F36" s="586">
        <f t="shared" si="7"/>
        <v>3692.4389300000003</v>
      </c>
      <c r="G36" s="588">
        <f t="shared" si="7"/>
        <v>28497.16731</v>
      </c>
      <c r="H36" s="584">
        <f t="shared" si="7"/>
        <v>1030500.8294899999</v>
      </c>
      <c r="I36" s="586">
        <f t="shared" si="7"/>
        <v>451374.16872</v>
      </c>
      <c r="J36" s="588">
        <f t="shared" si="7"/>
        <v>1481874.9982099999</v>
      </c>
      <c r="K36" s="584">
        <f t="shared" si="7"/>
        <v>1055305.55787</v>
      </c>
      <c r="L36" s="586">
        <f t="shared" si="7"/>
        <v>455066.60764999996</v>
      </c>
      <c r="M36" s="588">
        <f t="shared" si="7"/>
        <v>1510372.1655199998</v>
      </c>
    </row>
    <row r="37" spans="2:13" ht="15" customHeight="1">
      <c r="B37" s="592"/>
      <c r="C37" s="593"/>
      <c r="D37" s="262"/>
      <c r="E37" s="585"/>
      <c r="F37" s="587"/>
      <c r="G37" s="589"/>
      <c r="H37" s="585"/>
      <c r="I37" s="587"/>
      <c r="J37" s="589"/>
      <c r="K37" s="585"/>
      <c r="L37" s="587"/>
      <c r="M37" s="589"/>
    </row>
    <row r="38" ht="6.75" customHeight="1"/>
    <row r="39" spans="2:13" s="142" customFormat="1" ht="15" customHeight="1">
      <c r="B39" s="157" t="s">
        <v>112</v>
      </c>
      <c r="C39" s="158"/>
      <c r="D39" s="158"/>
      <c r="E39" s="425"/>
      <c r="F39" s="425"/>
      <c r="G39" s="425"/>
      <c r="H39" s="425"/>
      <c r="I39" s="425"/>
      <c r="J39" s="425"/>
      <c r="K39" s="144"/>
      <c r="L39" s="144"/>
      <c r="M39" s="144"/>
    </row>
    <row r="40" spans="2:13" s="142" customFormat="1" ht="15" customHeight="1">
      <c r="B40" s="157" t="s">
        <v>429</v>
      </c>
      <c r="C40" s="158"/>
      <c r="D40" s="158"/>
      <c r="E40" s="144"/>
      <c r="G40" s="144"/>
      <c r="H40" s="159"/>
      <c r="I40" s="160"/>
      <c r="J40" s="159"/>
      <c r="K40" s="189"/>
      <c r="L40" s="188"/>
      <c r="M40" s="144"/>
    </row>
    <row r="41" spans="2:13" s="142" customFormat="1" ht="15">
      <c r="B41" s="75"/>
      <c r="C41" s="158"/>
      <c r="D41" s="158"/>
      <c r="E41" s="144"/>
      <c r="G41" s="144"/>
      <c r="H41" s="169"/>
      <c r="I41" s="160"/>
      <c r="J41" s="159"/>
      <c r="K41" s="144"/>
      <c r="L41" s="144"/>
      <c r="M41" s="144"/>
    </row>
    <row r="42" spans="2:13" ht="15.75" customHeight="1">
      <c r="B42" s="424"/>
      <c r="C42" s="424"/>
      <c r="D42" s="424"/>
      <c r="E42" s="425"/>
      <c r="F42" s="425"/>
      <c r="G42" s="425"/>
      <c r="H42" s="425"/>
      <c r="I42" s="425"/>
      <c r="J42" s="425"/>
      <c r="K42" s="425"/>
      <c r="L42" s="425"/>
      <c r="M42" s="425"/>
    </row>
    <row r="43" spans="2:24" ht="15.75" customHeight="1">
      <c r="B43" s="424"/>
      <c r="C43" s="424"/>
      <c r="D43" s="424"/>
      <c r="E43" s="426"/>
      <c r="F43" s="427"/>
      <c r="G43" s="428"/>
      <c r="H43" s="426"/>
      <c r="I43" s="428"/>
      <c r="J43" s="428"/>
      <c r="K43" s="428"/>
      <c r="L43" s="428"/>
      <c r="M43" s="428"/>
      <c r="X43" s="162"/>
    </row>
    <row r="44" spans="2:24" ht="15.75" customHeight="1">
      <c r="B44" s="424"/>
      <c r="C44" s="424"/>
      <c r="D44" s="424"/>
      <c r="E44" s="429"/>
      <c r="F44" s="430"/>
      <c r="G44" s="431"/>
      <c r="H44" s="432"/>
      <c r="I44" s="432"/>
      <c r="J44" s="432"/>
      <c r="K44" s="429"/>
      <c r="L44" s="429"/>
      <c r="M44" s="433"/>
      <c r="Q44" s="210"/>
      <c r="X44" s="162"/>
    </row>
    <row r="45" spans="2:17" ht="15.75" customHeight="1">
      <c r="B45" s="424"/>
      <c r="C45" s="424"/>
      <c r="D45" s="424"/>
      <c r="E45" s="429"/>
      <c r="F45" s="430"/>
      <c r="G45" s="429"/>
      <c r="H45" s="432"/>
      <c r="I45" s="432"/>
      <c r="J45" s="432"/>
      <c r="K45" s="429"/>
      <c r="L45" s="431"/>
      <c r="M45" s="433"/>
      <c r="O45" s="215"/>
      <c r="Q45" s="210"/>
    </row>
    <row r="46" spans="2:17" ht="15.75" customHeight="1">
      <c r="B46" s="424"/>
      <c r="C46" s="424"/>
      <c r="D46" s="424"/>
      <c r="E46" s="429"/>
      <c r="F46" s="430"/>
      <c r="G46" s="429"/>
      <c r="H46" s="429"/>
      <c r="I46" s="434"/>
      <c r="J46" s="429"/>
      <c r="K46" s="429"/>
      <c r="L46" s="429"/>
      <c r="M46" s="435"/>
      <c r="O46" s="216"/>
      <c r="P46" s="216"/>
      <c r="Q46" s="210"/>
    </row>
    <row r="47" spans="2:17" ht="18.75">
      <c r="B47" s="133" t="s">
        <v>107</v>
      </c>
      <c r="C47" s="134"/>
      <c r="D47" s="134"/>
      <c r="M47" s="308"/>
      <c r="Q47" s="210"/>
    </row>
    <row r="48" spans="2:17" ht="19.5">
      <c r="B48" s="137" t="s">
        <v>248</v>
      </c>
      <c r="C48" s="138"/>
      <c r="D48" s="138"/>
      <c r="L48" s="75"/>
      <c r="M48" s="285"/>
      <c r="N48" s="315">
        <f>+Portada!I34</f>
        <v>3.713</v>
      </c>
      <c r="Q48" s="210"/>
    </row>
    <row r="49" spans="2:17" ht="18">
      <c r="B49" s="138" t="s">
        <v>78</v>
      </c>
      <c r="C49" s="136"/>
      <c r="D49" s="136"/>
      <c r="M49" s="263"/>
      <c r="Q49" s="210"/>
    </row>
    <row r="50" spans="2:17" ht="16.5">
      <c r="B50" s="140" t="s">
        <v>123</v>
      </c>
      <c r="C50" s="136"/>
      <c r="D50" s="136"/>
      <c r="L50" s="161"/>
      <c r="O50" s="217"/>
      <c r="Q50" s="210"/>
    </row>
    <row r="51" spans="2:4" ht="15.75">
      <c r="B51" s="136" t="str">
        <f>+B9</f>
        <v>Período: Desde 2024 al 2043</v>
      </c>
      <c r="C51" s="136"/>
      <c r="D51" s="136"/>
    </row>
    <row r="52" spans="2:13" ht="15.75">
      <c r="B52" s="143" t="s">
        <v>132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597" t="s">
        <v>93</v>
      </c>
      <c r="C54" s="598"/>
      <c r="D54" s="165"/>
      <c r="E54" s="594" t="s">
        <v>91</v>
      </c>
      <c r="F54" s="595"/>
      <c r="G54" s="596"/>
      <c r="H54" s="594" t="s">
        <v>92</v>
      </c>
      <c r="I54" s="595"/>
      <c r="J54" s="596"/>
      <c r="K54" s="594" t="s">
        <v>31</v>
      </c>
      <c r="L54" s="595"/>
      <c r="M54" s="596"/>
    </row>
    <row r="55" spans="2:13" ht="19.5" customHeight="1">
      <c r="B55" s="599"/>
      <c r="C55" s="600"/>
      <c r="D55" s="166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4"/>
      <c r="F56" s="365"/>
      <c r="G56" s="366"/>
      <c r="H56" s="364"/>
      <c r="I56" s="365"/>
      <c r="J56" s="366"/>
      <c r="K56" s="364"/>
      <c r="L56" s="365"/>
      <c r="M56" s="366"/>
    </row>
    <row r="57" spans="2:16" ht="15.75">
      <c r="B57" s="482">
        <v>2024</v>
      </c>
      <c r="C57" s="482" t="e">
        <f>+#REF!+1</f>
        <v>#REF!</v>
      </c>
      <c r="D57" s="167"/>
      <c r="E57" s="363">
        <f aca="true" t="shared" si="8" ref="E57:F76">ROUND(+E15*$N$48,5)</f>
        <v>16745.44687</v>
      </c>
      <c r="F57" s="361">
        <f t="shared" si="8"/>
        <v>4648.73392</v>
      </c>
      <c r="G57" s="362">
        <f aca="true" t="shared" si="9" ref="G57:G69">+F57+E57</f>
        <v>21394.18079</v>
      </c>
      <c r="H57" s="363">
        <f aca="true" t="shared" si="10" ref="H57:I76">ROUND(+H15*$N$48,5)</f>
        <v>671589.57872</v>
      </c>
      <c r="I57" s="361">
        <f t="shared" si="10"/>
        <v>203737.23266</v>
      </c>
      <c r="J57" s="362">
        <f aca="true" t="shared" si="11" ref="J57:J72">+H57+I57</f>
        <v>875326.81138</v>
      </c>
      <c r="K57" s="363">
        <f aca="true" t="shared" si="12" ref="K57:K64">+E57+H57</f>
        <v>688335.02559</v>
      </c>
      <c r="L57" s="361">
        <f aca="true" t="shared" si="13" ref="L57:L64">+F57+I57</f>
        <v>208385.96658</v>
      </c>
      <c r="M57" s="362">
        <f aca="true" t="shared" si="14" ref="M57:M72">+K57+L57</f>
        <v>896720.99217</v>
      </c>
      <c r="P57" s="154"/>
    </row>
    <row r="58" spans="2:16" ht="15.75">
      <c r="B58" s="482">
        <f aca="true" t="shared" si="15" ref="B58:B76">+B57+1</f>
        <v>2025</v>
      </c>
      <c r="C58" s="482" t="e">
        <f aca="true" t="shared" si="16" ref="C58:C72">+C57+1</f>
        <v>#REF!</v>
      </c>
      <c r="D58" s="167"/>
      <c r="E58" s="363">
        <f t="shared" si="8"/>
        <v>16745.44687</v>
      </c>
      <c r="F58" s="361">
        <f t="shared" si="8"/>
        <v>3549.97598</v>
      </c>
      <c r="G58" s="362">
        <f t="shared" si="9"/>
        <v>20295.42285</v>
      </c>
      <c r="H58" s="363">
        <f t="shared" si="10"/>
        <v>371561.07718</v>
      </c>
      <c r="I58" s="361">
        <f t="shared" si="10"/>
        <v>182904.90395</v>
      </c>
      <c r="J58" s="362">
        <f t="shared" si="11"/>
        <v>554465.98113</v>
      </c>
      <c r="K58" s="363">
        <f t="shared" si="12"/>
        <v>388306.52405</v>
      </c>
      <c r="L58" s="361">
        <f t="shared" si="13"/>
        <v>186454.87993</v>
      </c>
      <c r="M58" s="362">
        <f t="shared" si="14"/>
        <v>574761.40398</v>
      </c>
      <c r="P58" s="154"/>
    </row>
    <row r="59" spans="2:16" ht="15.75">
      <c r="B59" s="482">
        <f t="shared" si="15"/>
        <v>2026</v>
      </c>
      <c r="C59" s="482" t="e">
        <f t="shared" si="16"/>
        <v>#REF!</v>
      </c>
      <c r="D59" s="167"/>
      <c r="E59" s="363">
        <f t="shared" si="8"/>
        <v>16745.44687</v>
      </c>
      <c r="F59" s="361">
        <f t="shared" si="8"/>
        <v>2571.3245</v>
      </c>
      <c r="G59" s="362">
        <f t="shared" si="9"/>
        <v>19316.77137</v>
      </c>
      <c r="H59" s="363">
        <f t="shared" si="10"/>
        <v>662911.5122</v>
      </c>
      <c r="I59" s="361">
        <f t="shared" si="10"/>
        <v>172499.31717</v>
      </c>
      <c r="J59" s="362">
        <f t="shared" si="11"/>
        <v>835410.8293699999</v>
      </c>
      <c r="K59" s="363">
        <f t="shared" si="12"/>
        <v>679656.95907</v>
      </c>
      <c r="L59" s="361">
        <f t="shared" si="13"/>
        <v>175070.64166999998</v>
      </c>
      <c r="M59" s="362">
        <f t="shared" si="14"/>
        <v>854727.6007399999</v>
      </c>
      <c r="P59" s="154"/>
    </row>
    <row r="60" spans="2:16" ht="15.75">
      <c r="B60" s="482">
        <f t="shared" si="15"/>
        <v>2027</v>
      </c>
      <c r="C60" s="482" t="e">
        <f t="shared" si="16"/>
        <v>#REF!</v>
      </c>
      <c r="D60" s="167"/>
      <c r="E60" s="363">
        <f t="shared" si="8"/>
        <v>16745.44687</v>
      </c>
      <c r="F60" s="361">
        <f t="shared" si="8"/>
        <v>1762.64312</v>
      </c>
      <c r="G60" s="362">
        <f t="shared" si="9"/>
        <v>18508.08999</v>
      </c>
      <c r="H60" s="363">
        <f t="shared" si="10"/>
        <v>241633.83167</v>
      </c>
      <c r="I60" s="361">
        <f t="shared" si="10"/>
        <v>134944.29362</v>
      </c>
      <c r="J60" s="362">
        <f t="shared" si="11"/>
        <v>376578.12529</v>
      </c>
      <c r="K60" s="363">
        <f t="shared" si="12"/>
        <v>258379.27854000003</v>
      </c>
      <c r="L60" s="361">
        <f t="shared" si="13"/>
        <v>136706.93674</v>
      </c>
      <c r="M60" s="362">
        <f t="shared" si="14"/>
        <v>395086.21528</v>
      </c>
      <c r="P60" s="154"/>
    </row>
    <row r="61" spans="2:16" ht="15.75">
      <c r="B61" s="482">
        <f t="shared" si="15"/>
        <v>2028</v>
      </c>
      <c r="C61" s="482" t="e">
        <f t="shared" si="16"/>
        <v>#REF!</v>
      </c>
      <c r="D61" s="167"/>
      <c r="E61" s="363">
        <f t="shared" si="8"/>
        <v>16745.44687</v>
      </c>
      <c r="F61" s="361">
        <f t="shared" si="8"/>
        <v>980.55563</v>
      </c>
      <c r="G61" s="362">
        <f t="shared" si="9"/>
        <v>17726.0025</v>
      </c>
      <c r="H61" s="363">
        <f t="shared" si="10"/>
        <v>208664.6634</v>
      </c>
      <c r="I61" s="361">
        <f t="shared" si="10"/>
        <v>125093.69337</v>
      </c>
      <c r="J61" s="362">
        <f t="shared" si="11"/>
        <v>333758.35676999995</v>
      </c>
      <c r="K61" s="363">
        <f t="shared" si="12"/>
        <v>225410.11027</v>
      </c>
      <c r="L61" s="361">
        <f t="shared" si="13"/>
        <v>126074.249</v>
      </c>
      <c r="M61" s="362">
        <f t="shared" si="14"/>
        <v>351484.35927</v>
      </c>
      <c r="P61" s="154"/>
    </row>
    <row r="62" spans="2:16" ht="15.75">
      <c r="B62" s="482">
        <f t="shared" si="15"/>
        <v>2029</v>
      </c>
      <c r="C62" s="482" t="e">
        <f t="shared" si="16"/>
        <v>#REF!</v>
      </c>
      <c r="D62" s="167"/>
      <c r="E62" s="363">
        <f t="shared" si="8"/>
        <v>8372.7221</v>
      </c>
      <c r="F62" s="361">
        <f t="shared" si="8"/>
        <v>196.7926</v>
      </c>
      <c r="G62" s="362">
        <f>+F62+E62</f>
        <v>8569.514700000002</v>
      </c>
      <c r="H62" s="363">
        <f t="shared" si="10"/>
        <v>218071.30577</v>
      </c>
      <c r="I62" s="361">
        <f t="shared" si="10"/>
        <v>114190.74226</v>
      </c>
      <c r="J62" s="362">
        <f t="shared" si="11"/>
        <v>332262.04803</v>
      </c>
      <c r="K62" s="363">
        <f t="shared" si="12"/>
        <v>226444.02787000002</v>
      </c>
      <c r="L62" s="361">
        <f t="shared" si="13"/>
        <v>114387.53486</v>
      </c>
      <c r="M62" s="362">
        <f t="shared" si="14"/>
        <v>340831.56273</v>
      </c>
      <c r="P62" s="154"/>
    </row>
    <row r="63" spans="2:16" ht="15.75">
      <c r="B63" s="482">
        <f t="shared" si="15"/>
        <v>2030</v>
      </c>
      <c r="C63" s="482" t="e">
        <f t="shared" si="16"/>
        <v>#REF!</v>
      </c>
      <c r="D63" s="167"/>
      <c r="E63" s="363">
        <f t="shared" si="8"/>
        <v>0</v>
      </c>
      <c r="F63" s="361">
        <f t="shared" si="8"/>
        <v>0</v>
      </c>
      <c r="G63" s="362">
        <f t="shared" si="9"/>
        <v>0</v>
      </c>
      <c r="H63" s="363">
        <f t="shared" si="10"/>
        <v>182046.18593</v>
      </c>
      <c r="I63" s="361">
        <f t="shared" si="10"/>
        <v>104018.26999</v>
      </c>
      <c r="J63" s="362">
        <f t="shared" si="11"/>
        <v>286064.45592</v>
      </c>
      <c r="K63" s="363">
        <f t="shared" si="12"/>
        <v>182046.18593</v>
      </c>
      <c r="L63" s="361">
        <f t="shared" si="13"/>
        <v>104018.26999</v>
      </c>
      <c r="M63" s="362">
        <f t="shared" si="14"/>
        <v>286064.45592</v>
      </c>
      <c r="P63" s="154"/>
    </row>
    <row r="64" spans="2:16" ht="15.75">
      <c r="B64" s="482">
        <f t="shared" si="15"/>
        <v>2031</v>
      </c>
      <c r="C64" s="482" t="e">
        <f t="shared" si="16"/>
        <v>#REF!</v>
      </c>
      <c r="D64" s="167"/>
      <c r="E64" s="363">
        <f t="shared" si="8"/>
        <v>0</v>
      </c>
      <c r="F64" s="361">
        <f t="shared" si="8"/>
        <v>0</v>
      </c>
      <c r="G64" s="362">
        <f t="shared" si="9"/>
        <v>0</v>
      </c>
      <c r="H64" s="363">
        <f t="shared" si="10"/>
        <v>171558.74632</v>
      </c>
      <c r="I64" s="361">
        <f t="shared" si="10"/>
        <v>94259.60837</v>
      </c>
      <c r="J64" s="362">
        <f t="shared" si="11"/>
        <v>265818.35469</v>
      </c>
      <c r="K64" s="363">
        <f t="shared" si="12"/>
        <v>171558.74632</v>
      </c>
      <c r="L64" s="361">
        <f t="shared" si="13"/>
        <v>94259.60837</v>
      </c>
      <c r="M64" s="362">
        <f t="shared" si="14"/>
        <v>265818.35469</v>
      </c>
      <c r="P64" s="154"/>
    </row>
    <row r="65" spans="2:16" ht="15.75">
      <c r="B65" s="482">
        <f t="shared" si="15"/>
        <v>2032</v>
      </c>
      <c r="C65" s="482" t="e">
        <f t="shared" si="16"/>
        <v>#REF!</v>
      </c>
      <c r="D65" s="167"/>
      <c r="E65" s="363">
        <f t="shared" si="8"/>
        <v>0</v>
      </c>
      <c r="F65" s="361">
        <f t="shared" si="8"/>
        <v>0</v>
      </c>
      <c r="G65" s="362">
        <f t="shared" si="9"/>
        <v>0</v>
      </c>
      <c r="H65" s="363">
        <f t="shared" si="10"/>
        <v>162347.62767</v>
      </c>
      <c r="I65" s="361">
        <f t="shared" si="10"/>
        <v>91841.62238</v>
      </c>
      <c r="J65" s="362">
        <f t="shared" si="11"/>
        <v>254189.25004999997</v>
      </c>
      <c r="K65" s="363">
        <f aca="true" t="shared" si="17" ref="K65:K72">+E65+H65</f>
        <v>162347.62767</v>
      </c>
      <c r="L65" s="361">
        <f aca="true" t="shared" si="18" ref="L65:L72">+F65+I65</f>
        <v>91841.62238</v>
      </c>
      <c r="M65" s="362">
        <f t="shared" si="14"/>
        <v>254189.25004999997</v>
      </c>
      <c r="P65" s="154"/>
    </row>
    <row r="66" spans="2:16" ht="15.75">
      <c r="B66" s="482">
        <f t="shared" si="15"/>
        <v>2033</v>
      </c>
      <c r="C66" s="482" t="e">
        <f t="shared" si="16"/>
        <v>#REF!</v>
      </c>
      <c r="D66" s="167"/>
      <c r="E66" s="363">
        <f t="shared" si="8"/>
        <v>0</v>
      </c>
      <c r="F66" s="361">
        <f t="shared" si="8"/>
        <v>0</v>
      </c>
      <c r="G66" s="362">
        <f t="shared" si="9"/>
        <v>0</v>
      </c>
      <c r="H66" s="363">
        <f t="shared" si="10"/>
        <v>109483.52981</v>
      </c>
      <c r="I66" s="361">
        <f t="shared" si="10"/>
        <v>75283.7442</v>
      </c>
      <c r="J66" s="362">
        <f t="shared" si="11"/>
        <v>184767.27401</v>
      </c>
      <c r="K66" s="363">
        <f t="shared" si="17"/>
        <v>109483.52981</v>
      </c>
      <c r="L66" s="361">
        <f t="shared" si="18"/>
        <v>75283.7442</v>
      </c>
      <c r="M66" s="362">
        <f t="shared" si="14"/>
        <v>184767.27401</v>
      </c>
      <c r="P66" s="154"/>
    </row>
    <row r="67" spans="2:16" ht="15.75">
      <c r="B67" s="482">
        <f t="shared" si="15"/>
        <v>2034</v>
      </c>
      <c r="C67" s="482" t="e">
        <f t="shared" si="16"/>
        <v>#REF!</v>
      </c>
      <c r="D67" s="167"/>
      <c r="E67" s="363">
        <f t="shared" si="8"/>
        <v>0</v>
      </c>
      <c r="F67" s="361">
        <f t="shared" si="8"/>
        <v>0</v>
      </c>
      <c r="G67" s="362">
        <f t="shared" si="9"/>
        <v>0</v>
      </c>
      <c r="H67" s="363">
        <f t="shared" si="10"/>
        <v>100944.75608</v>
      </c>
      <c r="I67" s="361">
        <f t="shared" si="10"/>
        <v>67905.19987</v>
      </c>
      <c r="J67" s="362">
        <f t="shared" si="11"/>
        <v>168849.95595</v>
      </c>
      <c r="K67" s="363">
        <f t="shared" si="17"/>
        <v>100944.75608</v>
      </c>
      <c r="L67" s="361">
        <f t="shared" si="18"/>
        <v>67905.19987</v>
      </c>
      <c r="M67" s="362">
        <f t="shared" si="14"/>
        <v>168849.95595</v>
      </c>
      <c r="P67" s="154"/>
    </row>
    <row r="68" spans="2:16" ht="15.75">
      <c r="B68" s="482">
        <f t="shared" si="15"/>
        <v>2035</v>
      </c>
      <c r="C68" s="482" t="e">
        <f t="shared" si="16"/>
        <v>#REF!</v>
      </c>
      <c r="D68" s="167"/>
      <c r="E68" s="363">
        <f t="shared" si="8"/>
        <v>0</v>
      </c>
      <c r="F68" s="361">
        <f t="shared" si="8"/>
        <v>0</v>
      </c>
      <c r="G68" s="362">
        <f t="shared" si="9"/>
        <v>0</v>
      </c>
      <c r="H68" s="363">
        <f t="shared" si="10"/>
        <v>101722.08993</v>
      </c>
      <c r="I68" s="361">
        <f t="shared" si="10"/>
        <v>60564.81924</v>
      </c>
      <c r="J68" s="362">
        <f t="shared" si="11"/>
        <v>162286.90917</v>
      </c>
      <c r="K68" s="363">
        <f t="shared" si="17"/>
        <v>101722.08993</v>
      </c>
      <c r="L68" s="361">
        <f t="shared" si="18"/>
        <v>60564.81924</v>
      </c>
      <c r="M68" s="362">
        <f t="shared" si="14"/>
        <v>162286.90917</v>
      </c>
      <c r="P68" s="154"/>
    </row>
    <row r="69" spans="2:16" ht="15.75">
      <c r="B69" s="482">
        <f t="shared" si="15"/>
        <v>2036</v>
      </c>
      <c r="C69" s="482" t="e">
        <f t="shared" si="16"/>
        <v>#REF!</v>
      </c>
      <c r="D69" s="167"/>
      <c r="E69" s="363">
        <f t="shared" si="8"/>
        <v>0</v>
      </c>
      <c r="F69" s="361">
        <f t="shared" si="8"/>
        <v>0</v>
      </c>
      <c r="G69" s="362">
        <f t="shared" si="9"/>
        <v>0</v>
      </c>
      <c r="H69" s="363">
        <f t="shared" si="10"/>
        <v>70544.647</v>
      </c>
      <c r="I69" s="361">
        <f t="shared" si="10"/>
        <v>53719.75477</v>
      </c>
      <c r="J69" s="362">
        <f t="shared" si="11"/>
        <v>124264.40177</v>
      </c>
      <c r="K69" s="363">
        <f t="shared" si="17"/>
        <v>70544.647</v>
      </c>
      <c r="L69" s="361">
        <f t="shared" si="18"/>
        <v>53719.75477</v>
      </c>
      <c r="M69" s="362">
        <f t="shared" si="14"/>
        <v>124264.40177</v>
      </c>
      <c r="P69" s="154"/>
    </row>
    <row r="70" spans="2:16" ht="15.75">
      <c r="B70" s="482">
        <f t="shared" si="15"/>
        <v>2037</v>
      </c>
      <c r="C70" s="482" t="e">
        <f t="shared" si="16"/>
        <v>#REF!</v>
      </c>
      <c r="D70" s="167"/>
      <c r="E70" s="363">
        <f t="shared" si="8"/>
        <v>0</v>
      </c>
      <c r="F70" s="361">
        <f t="shared" si="8"/>
        <v>0</v>
      </c>
      <c r="G70" s="362">
        <f aca="true" t="shared" si="19" ref="G70:G76">+F70+E70</f>
        <v>0</v>
      </c>
      <c r="H70" s="363">
        <f t="shared" si="10"/>
        <v>67199.10196</v>
      </c>
      <c r="I70" s="361">
        <f t="shared" si="10"/>
        <v>47667.90143</v>
      </c>
      <c r="J70" s="362">
        <f t="shared" si="11"/>
        <v>114867.00339</v>
      </c>
      <c r="K70" s="363">
        <f t="shared" si="17"/>
        <v>67199.10196</v>
      </c>
      <c r="L70" s="361">
        <f t="shared" si="18"/>
        <v>47667.90143</v>
      </c>
      <c r="M70" s="362">
        <f t="shared" si="14"/>
        <v>114867.00339</v>
      </c>
      <c r="P70" s="154"/>
    </row>
    <row r="71" spans="2:16" ht="15.75">
      <c r="B71" s="482">
        <f t="shared" si="15"/>
        <v>2038</v>
      </c>
      <c r="C71" s="482" t="e">
        <f t="shared" si="16"/>
        <v>#REF!</v>
      </c>
      <c r="D71" s="167"/>
      <c r="E71" s="363">
        <f t="shared" si="8"/>
        <v>0</v>
      </c>
      <c r="F71" s="361">
        <f t="shared" si="8"/>
        <v>0</v>
      </c>
      <c r="G71" s="362">
        <f t="shared" si="19"/>
        <v>0</v>
      </c>
      <c r="H71" s="363">
        <f t="shared" si="10"/>
        <v>67042.74861</v>
      </c>
      <c r="I71" s="361">
        <f t="shared" si="10"/>
        <v>41795.39252</v>
      </c>
      <c r="J71" s="362">
        <f t="shared" si="11"/>
        <v>108838.14113</v>
      </c>
      <c r="K71" s="363">
        <f t="shared" si="17"/>
        <v>67042.74861</v>
      </c>
      <c r="L71" s="361">
        <f t="shared" si="18"/>
        <v>41795.39252</v>
      </c>
      <c r="M71" s="362">
        <f t="shared" si="14"/>
        <v>108838.14113</v>
      </c>
      <c r="P71" s="154"/>
    </row>
    <row r="72" spans="2:16" ht="15.75">
      <c r="B72" s="482">
        <f t="shared" si="15"/>
        <v>2039</v>
      </c>
      <c r="C72" s="482" t="e">
        <f t="shared" si="16"/>
        <v>#REF!</v>
      </c>
      <c r="D72" s="167"/>
      <c r="E72" s="363">
        <f t="shared" si="8"/>
        <v>0</v>
      </c>
      <c r="F72" s="361">
        <f t="shared" si="8"/>
        <v>0</v>
      </c>
      <c r="G72" s="362">
        <f t="shared" si="19"/>
        <v>0</v>
      </c>
      <c r="H72" s="363">
        <f t="shared" si="10"/>
        <v>81688.08737</v>
      </c>
      <c r="I72" s="361">
        <f t="shared" si="10"/>
        <v>35584.459</v>
      </c>
      <c r="J72" s="362">
        <f t="shared" si="11"/>
        <v>117272.54637</v>
      </c>
      <c r="K72" s="363">
        <f t="shared" si="17"/>
        <v>81688.08737</v>
      </c>
      <c r="L72" s="361">
        <f t="shared" si="18"/>
        <v>35584.459</v>
      </c>
      <c r="M72" s="362">
        <f t="shared" si="14"/>
        <v>117272.54637</v>
      </c>
      <c r="P72" s="154"/>
    </row>
    <row r="73" spans="2:16" ht="15.75">
      <c r="B73" s="482">
        <f t="shared" si="15"/>
        <v>2040</v>
      </c>
      <c r="C73" s="482"/>
      <c r="D73" s="167"/>
      <c r="E73" s="363">
        <f t="shared" si="8"/>
        <v>0</v>
      </c>
      <c r="F73" s="361">
        <f t="shared" si="8"/>
        <v>0</v>
      </c>
      <c r="G73" s="362">
        <f t="shared" si="19"/>
        <v>0</v>
      </c>
      <c r="H73" s="363">
        <f t="shared" si="10"/>
        <v>81571.2442</v>
      </c>
      <c r="I73" s="361">
        <f t="shared" si="10"/>
        <v>28444.55285</v>
      </c>
      <c r="J73" s="362">
        <f>+H73+I73</f>
        <v>110015.79705</v>
      </c>
      <c r="K73" s="363">
        <f aca="true" t="shared" si="20" ref="K73:L76">+E73+H73</f>
        <v>81571.2442</v>
      </c>
      <c r="L73" s="361">
        <f t="shared" si="20"/>
        <v>28444.55285</v>
      </c>
      <c r="M73" s="362">
        <f>+K73+L73</f>
        <v>110015.79705</v>
      </c>
      <c r="P73" s="154"/>
    </row>
    <row r="74" spans="2:16" ht="15.75">
      <c r="B74" s="482">
        <f t="shared" si="15"/>
        <v>2041</v>
      </c>
      <c r="C74" s="482"/>
      <c r="D74" s="167"/>
      <c r="E74" s="363">
        <f t="shared" si="8"/>
        <v>0</v>
      </c>
      <c r="F74" s="361">
        <f t="shared" si="8"/>
        <v>0</v>
      </c>
      <c r="G74" s="362">
        <f t="shared" si="19"/>
        <v>0</v>
      </c>
      <c r="H74" s="363">
        <f t="shared" si="10"/>
        <v>80422.42964</v>
      </c>
      <c r="I74" s="361">
        <f t="shared" si="10"/>
        <v>21145.0685</v>
      </c>
      <c r="J74" s="362">
        <f>+H74+I74</f>
        <v>101567.49814000001</v>
      </c>
      <c r="K74" s="363">
        <f t="shared" si="20"/>
        <v>80422.42964</v>
      </c>
      <c r="L74" s="361">
        <f t="shared" si="20"/>
        <v>21145.0685</v>
      </c>
      <c r="M74" s="362">
        <f>+K74+L74</f>
        <v>101567.49814000001</v>
      </c>
      <c r="P74" s="154"/>
    </row>
    <row r="75" spans="2:16" ht="15.75">
      <c r="B75" s="482">
        <f t="shared" si="15"/>
        <v>2042</v>
      </c>
      <c r="C75" s="482"/>
      <c r="D75" s="167"/>
      <c r="E75" s="363">
        <f t="shared" si="8"/>
        <v>0</v>
      </c>
      <c r="F75" s="361">
        <f t="shared" si="8"/>
        <v>0</v>
      </c>
      <c r="G75" s="362">
        <f t="shared" si="19"/>
        <v>0</v>
      </c>
      <c r="H75" s="363">
        <f t="shared" si="10"/>
        <v>80211.21482</v>
      </c>
      <c r="I75" s="361">
        <f t="shared" si="10"/>
        <v>13945.06849</v>
      </c>
      <c r="J75" s="362">
        <f>+H75+I75</f>
        <v>94156.28331</v>
      </c>
      <c r="K75" s="363">
        <f t="shared" si="20"/>
        <v>80211.21482</v>
      </c>
      <c r="L75" s="361">
        <f t="shared" si="20"/>
        <v>13945.06849</v>
      </c>
      <c r="M75" s="362">
        <f>+K75+L75</f>
        <v>94156.28331</v>
      </c>
      <c r="P75" s="154"/>
    </row>
    <row r="76" spans="2:16" ht="15.75">
      <c r="B76" s="482">
        <f t="shared" si="15"/>
        <v>2043</v>
      </c>
      <c r="C76" s="482"/>
      <c r="D76" s="167"/>
      <c r="E76" s="363">
        <f t="shared" si="8"/>
        <v>0</v>
      </c>
      <c r="F76" s="361">
        <f t="shared" si="8"/>
        <v>0</v>
      </c>
      <c r="G76" s="362">
        <f t="shared" si="19"/>
        <v>0</v>
      </c>
      <c r="H76" s="363">
        <f t="shared" si="10"/>
        <v>95035.20161</v>
      </c>
      <c r="I76" s="361">
        <f t="shared" si="10"/>
        <v>6406.64382</v>
      </c>
      <c r="J76" s="362">
        <f>+H76+I76</f>
        <v>101441.84543</v>
      </c>
      <c r="K76" s="363">
        <f t="shared" si="20"/>
        <v>95035.20161</v>
      </c>
      <c r="L76" s="361">
        <f t="shared" si="20"/>
        <v>6406.64382</v>
      </c>
      <c r="M76" s="362">
        <f>+K76+L76</f>
        <v>101441.84543</v>
      </c>
      <c r="P76" s="154"/>
    </row>
    <row r="77" spans="2:16" ht="8.25" customHeight="1">
      <c r="B77" s="155"/>
      <c r="C77" s="156"/>
      <c r="D77" s="168"/>
      <c r="E77" s="367"/>
      <c r="F77" s="368"/>
      <c r="G77" s="369"/>
      <c r="H77" s="367"/>
      <c r="I77" s="368"/>
      <c r="J77" s="369"/>
      <c r="K77" s="367"/>
      <c r="L77" s="368"/>
      <c r="M77" s="369"/>
      <c r="P77" s="154"/>
    </row>
    <row r="78" spans="2:16" ht="15" customHeight="1">
      <c r="B78" s="590" t="s">
        <v>14</v>
      </c>
      <c r="C78" s="591"/>
      <c r="D78" s="163"/>
      <c r="E78" s="584">
        <f aca="true" t="shared" si="21" ref="E78:M78">SUM(E57:E76)</f>
        <v>92099.95645</v>
      </c>
      <c r="F78" s="586">
        <f t="shared" si="21"/>
        <v>13710.025750000003</v>
      </c>
      <c r="G78" s="588">
        <f t="shared" si="21"/>
        <v>105809.9822</v>
      </c>
      <c r="H78" s="584">
        <f t="shared" si="21"/>
        <v>3826249.57989</v>
      </c>
      <c r="I78" s="586">
        <f t="shared" si="21"/>
        <v>1675952.2884600007</v>
      </c>
      <c r="J78" s="588">
        <f t="shared" si="21"/>
        <v>5502201.86835</v>
      </c>
      <c r="K78" s="584">
        <f t="shared" si="21"/>
        <v>3918349.5363399996</v>
      </c>
      <c r="L78" s="586">
        <f t="shared" si="21"/>
        <v>1689662.3142100004</v>
      </c>
      <c r="M78" s="588">
        <f t="shared" si="21"/>
        <v>5608011.850550001</v>
      </c>
      <c r="P78" s="154"/>
    </row>
    <row r="79" spans="2:16" ht="15" customHeight="1">
      <c r="B79" s="592"/>
      <c r="C79" s="593"/>
      <c r="D79" s="164"/>
      <c r="E79" s="585"/>
      <c r="F79" s="587"/>
      <c r="G79" s="589"/>
      <c r="H79" s="585"/>
      <c r="I79" s="587"/>
      <c r="J79" s="589"/>
      <c r="K79" s="585"/>
      <c r="L79" s="587"/>
      <c r="M79" s="589"/>
      <c r="P79" s="154"/>
    </row>
    <row r="80" ht="6.75" customHeight="1"/>
    <row r="81" spans="2:13" ht="15.75">
      <c r="B81" s="157" t="s">
        <v>112</v>
      </c>
      <c r="C81" s="158"/>
      <c r="D81" s="158"/>
      <c r="E81" s="144"/>
      <c r="F81" s="142"/>
      <c r="G81" s="144"/>
      <c r="H81" s="159"/>
      <c r="I81" s="145"/>
      <c r="J81" s="144"/>
      <c r="K81" s="144"/>
      <c r="L81" s="144"/>
      <c r="M81" s="144"/>
    </row>
    <row r="82" spans="2:13" ht="15">
      <c r="B82" s="157" t="s">
        <v>429</v>
      </c>
      <c r="C82" s="158"/>
      <c r="D82" s="158"/>
      <c r="E82" s="144"/>
      <c r="F82" s="142"/>
      <c r="G82" s="144"/>
      <c r="H82" s="159"/>
      <c r="I82" s="145"/>
      <c r="J82" s="144"/>
      <c r="K82" s="144"/>
      <c r="L82" s="144"/>
      <c r="M82" s="144"/>
    </row>
    <row r="83" spans="2:8" ht="15">
      <c r="B83" s="75"/>
      <c r="C83" s="158"/>
      <c r="D83" s="158"/>
      <c r="E83" s="144"/>
      <c r="F83" s="142"/>
      <c r="G83" s="144"/>
      <c r="H83" s="169"/>
    </row>
    <row r="84" spans="2:14" ht="15">
      <c r="B84" s="424"/>
      <c r="C84" s="422"/>
      <c r="D84" s="422"/>
      <c r="E84" s="436"/>
      <c r="F84" s="435"/>
      <c r="G84" s="435"/>
      <c r="H84" s="435"/>
      <c r="I84" s="435"/>
      <c r="J84" s="435"/>
      <c r="K84" s="435"/>
      <c r="L84" s="435"/>
      <c r="M84" s="435"/>
      <c r="N84" s="422"/>
    </row>
    <row r="85" spans="2:14" ht="15">
      <c r="B85" s="422"/>
      <c r="C85" s="422"/>
      <c r="D85" s="422"/>
      <c r="E85" s="437"/>
      <c r="F85" s="179"/>
      <c r="G85" s="179"/>
      <c r="H85" s="179"/>
      <c r="I85" s="179"/>
      <c r="J85" s="179"/>
      <c r="K85" s="179"/>
      <c r="L85" s="179"/>
      <c r="M85" s="179"/>
      <c r="N85" s="422"/>
    </row>
    <row r="86" spans="2:14" ht="15">
      <c r="B86" s="422"/>
      <c r="C86" s="422"/>
      <c r="D86" s="422"/>
      <c r="E86" s="438"/>
      <c r="F86" s="435"/>
      <c r="G86" s="435"/>
      <c r="H86" s="435"/>
      <c r="I86" s="435"/>
      <c r="J86" s="435"/>
      <c r="K86" s="435"/>
      <c r="L86" s="435"/>
      <c r="M86" s="435"/>
      <c r="N86" s="422"/>
    </row>
    <row r="87" spans="2:14" ht="15">
      <c r="B87" s="422"/>
      <c r="C87" s="422"/>
      <c r="D87" s="422"/>
      <c r="E87" s="439"/>
      <c r="F87" s="422"/>
      <c r="G87" s="435"/>
      <c r="H87" s="435"/>
      <c r="I87" s="440"/>
      <c r="J87" s="435"/>
      <c r="K87" s="435"/>
      <c r="L87" s="435"/>
      <c r="M87" s="435"/>
      <c r="N87" s="422"/>
    </row>
    <row r="88" spans="2:14" ht="15">
      <c r="B88" s="422"/>
      <c r="C88" s="422"/>
      <c r="D88" s="422"/>
      <c r="E88" s="438"/>
      <c r="F88" s="438"/>
      <c r="G88" s="438"/>
      <c r="H88" s="438"/>
      <c r="I88" s="438"/>
      <c r="J88" s="438"/>
      <c r="K88" s="438"/>
      <c r="L88" s="438"/>
      <c r="M88" s="438"/>
      <c r="N88" s="422"/>
    </row>
    <row r="89" spans="2:14" ht="15">
      <c r="B89" s="422"/>
      <c r="C89" s="422"/>
      <c r="D89" s="422"/>
      <c r="E89" s="435"/>
      <c r="F89" s="422"/>
      <c r="G89" s="435"/>
      <c r="H89" s="435"/>
      <c r="I89" s="440"/>
      <c r="J89" s="435"/>
      <c r="K89" s="435"/>
      <c r="L89" s="435"/>
      <c r="M89" s="435"/>
      <c r="N89" s="422"/>
    </row>
    <row r="90" spans="2:14" ht="15">
      <c r="B90" s="422"/>
      <c r="C90" s="422"/>
      <c r="D90" s="422"/>
      <c r="E90" s="435"/>
      <c r="F90" s="422"/>
      <c r="G90" s="435"/>
      <c r="H90" s="435"/>
      <c r="I90" s="440"/>
      <c r="J90" s="435"/>
      <c r="K90" s="435"/>
      <c r="L90" s="435"/>
      <c r="M90" s="435"/>
      <c r="N90" s="422"/>
    </row>
    <row r="91" spans="2:14" ht="15">
      <c r="B91" s="422"/>
      <c r="C91" s="422"/>
      <c r="D91" s="422"/>
      <c r="E91" s="435"/>
      <c r="F91" s="422"/>
      <c r="G91" s="435"/>
      <c r="H91" s="435"/>
      <c r="I91" s="440"/>
      <c r="J91" s="435"/>
      <c r="K91" s="435"/>
      <c r="L91" s="435"/>
      <c r="M91" s="435"/>
      <c r="N91" s="422"/>
    </row>
    <row r="92" spans="2:14" ht="15">
      <c r="B92" s="422"/>
      <c r="C92" s="422"/>
      <c r="D92" s="422"/>
      <c r="E92" s="435"/>
      <c r="F92" s="422"/>
      <c r="G92" s="435"/>
      <c r="H92" s="435"/>
      <c r="I92" s="440"/>
      <c r="J92" s="435"/>
      <c r="K92" s="435"/>
      <c r="L92" s="435"/>
      <c r="M92" s="435"/>
      <c r="N92" s="422"/>
    </row>
    <row r="93" spans="2:14" ht="15">
      <c r="B93" s="422"/>
      <c r="C93" s="422"/>
      <c r="D93" s="422"/>
      <c r="E93" s="435"/>
      <c r="F93" s="422"/>
      <c r="G93" s="435"/>
      <c r="H93" s="435"/>
      <c r="I93" s="440"/>
      <c r="J93" s="435"/>
      <c r="K93" s="435"/>
      <c r="L93" s="435"/>
      <c r="M93" s="435"/>
      <c r="N93" s="422"/>
    </row>
    <row r="94" spans="2:14" ht="15">
      <c r="B94" s="422"/>
      <c r="C94" s="422"/>
      <c r="D94" s="422"/>
      <c r="E94" s="435"/>
      <c r="F94" s="422"/>
      <c r="G94" s="435"/>
      <c r="H94" s="435"/>
      <c r="I94" s="440"/>
      <c r="J94" s="435"/>
      <c r="K94" s="435"/>
      <c r="L94" s="435"/>
      <c r="M94" s="435"/>
      <c r="N94" s="422"/>
    </row>
    <row r="95" spans="2:14" ht="15">
      <c r="B95" s="422"/>
      <c r="C95" s="422"/>
      <c r="D95" s="422"/>
      <c r="E95" s="435"/>
      <c r="F95" s="422"/>
      <c r="G95" s="435"/>
      <c r="H95" s="435"/>
      <c r="I95" s="440"/>
      <c r="J95" s="435"/>
      <c r="K95" s="435"/>
      <c r="L95" s="435"/>
      <c r="M95" s="435"/>
      <c r="N95" s="422"/>
    </row>
    <row r="96" spans="2:14" ht="15">
      <c r="B96" s="422"/>
      <c r="C96" s="422"/>
      <c r="D96" s="422"/>
      <c r="E96" s="435"/>
      <c r="F96" s="422"/>
      <c r="G96" s="435"/>
      <c r="H96" s="435"/>
      <c r="I96" s="440"/>
      <c r="J96" s="435"/>
      <c r="K96" s="435"/>
      <c r="L96" s="435"/>
      <c r="M96" s="435"/>
      <c r="N96" s="422"/>
    </row>
    <row r="97" spans="2:14" ht="15">
      <c r="B97" s="422"/>
      <c r="C97" s="422"/>
      <c r="D97" s="422"/>
      <c r="E97" s="435"/>
      <c r="F97" s="422"/>
      <c r="G97" s="435"/>
      <c r="H97" s="435"/>
      <c r="I97" s="440"/>
      <c r="J97" s="435"/>
      <c r="K97" s="435"/>
      <c r="L97" s="435"/>
      <c r="M97" s="435"/>
      <c r="N97" s="422"/>
    </row>
    <row r="98" spans="2:14" ht="15">
      <c r="B98" s="422"/>
      <c r="C98" s="422"/>
      <c r="D98" s="422"/>
      <c r="E98" s="435"/>
      <c r="F98" s="422"/>
      <c r="G98" s="435"/>
      <c r="H98" s="435"/>
      <c r="I98" s="440"/>
      <c r="J98" s="435"/>
      <c r="K98" s="435"/>
      <c r="L98" s="435"/>
      <c r="M98" s="435"/>
      <c r="N98" s="422"/>
    </row>
    <row r="99" spans="2:14" ht="15">
      <c r="B99" s="422"/>
      <c r="C99" s="422"/>
      <c r="D99" s="422"/>
      <c r="E99" s="435"/>
      <c r="F99" s="422"/>
      <c r="G99" s="435"/>
      <c r="H99" s="435"/>
      <c r="I99" s="440"/>
      <c r="J99" s="435"/>
      <c r="K99" s="435"/>
      <c r="L99" s="435"/>
      <c r="M99" s="435"/>
      <c r="N99" s="422"/>
    </row>
    <row r="100" spans="2:14" ht="15">
      <c r="B100" s="422"/>
      <c r="C100" s="422"/>
      <c r="D100" s="422"/>
      <c r="E100" s="435"/>
      <c r="F100" s="422"/>
      <c r="G100" s="435"/>
      <c r="H100" s="435"/>
      <c r="I100" s="440"/>
      <c r="J100" s="435"/>
      <c r="K100" s="435"/>
      <c r="L100" s="435"/>
      <c r="M100" s="435"/>
      <c r="N100" s="422"/>
    </row>
    <row r="101" spans="2:14" ht="15">
      <c r="B101" s="422"/>
      <c r="C101" s="422"/>
      <c r="D101" s="422"/>
      <c r="E101" s="435"/>
      <c r="F101" s="422"/>
      <c r="G101" s="435"/>
      <c r="H101" s="435"/>
      <c r="I101" s="440"/>
      <c r="J101" s="435"/>
      <c r="K101" s="435"/>
      <c r="L101" s="435"/>
      <c r="M101" s="435"/>
      <c r="N101" s="422"/>
    </row>
  </sheetData>
  <sheetProtection/>
  <mergeCells count="29"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90" r:id="rId2"/>
  <ignoredErrors>
    <ignoredError sqref="G57:G68 G69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2" t="s">
        <v>243</v>
      </c>
      <c r="C6" s="502"/>
      <c r="D6" s="502"/>
      <c r="E6" s="502"/>
      <c r="F6" s="502"/>
      <c r="G6" s="502"/>
    </row>
    <row r="7" spans="1:7" ht="15.75">
      <c r="A7" s="4"/>
      <c r="B7" s="503" t="str">
        <f>+Indice!B7</f>
        <v>AL 31 DE DICIEMBRE DE 2023</v>
      </c>
      <c r="C7" s="503"/>
      <c r="D7" s="503"/>
      <c r="E7" s="503"/>
      <c r="F7" s="503"/>
      <c r="G7" s="503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244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114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115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125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45291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245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213</v>
      </c>
      <c r="E23" s="6"/>
      <c r="F23" s="6"/>
      <c r="G23" s="6"/>
    </row>
    <row r="24" spans="1:7" ht="16.5" customHeight="1">
      <c r="A24" s="6"/>
      <c r="B24" s="10"/>
      <c r="C24" s="10"/>
      <c r="D24" s="6" t="s">
        <v>214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6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45322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128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134</v>
      </c>
      <c r="E34" s="507"/>
      <c r="F34" s="507"/>
      <c r="G34" s="507"/>
      <c r="I34" s="314">
        <v>3.713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2" t="s">
        <v>168</v>
      </c>
      <c r="C5" s="502"/>
      <c r="D5" s="502"/>
      <c r="E5" s="502"/>
      <c r="F5" s="502"/>
      <c r="G5" s="502"/>
      <c r="H5" s="502"/>
      <c r="I5" s="502"/>
      <c r="J5" s="502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243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31 DE DICIEMBRE DE 2023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5" t="s">
        <v>129</v>
      </c>
      <c r="C9" s="375"/>
      <c r="D9" s="375"/>
      <c r="E9" s="375"/>
      <c r="F9" s="375"/>
      <c r="G9" s="375"/>
      <c r="H9" s="375"/>
      <c r="I9" s="375"/>
      <c r="J9" s="375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4" t="s">
        <v>13</v>
      </c>
      <c r="D12" s="374" t="s">
        <v>130</v>
      </c>
      <c r="E12" s="377" t="s">
        <v>26</v>
      </c>
      <c r="F12" s="119"/>
      <c r="G12" s="120"/>
      <c r="H12" s="374" t="s">
        <v>13</v>
      </c>
      <c r="I12" s="374" t="s">
        <v>130</v>
      </c>
      <c r="J12" s="377" t="s">
        <v>26</v>
      </c>
      <c r="M12" s="205"/>
    </row>
    <row r="13" spans="2:10" ht="19.5" customHeight="1">
      <c r="B13" s="121" t="s">
        <v>29</v>
      </c>
      <c r="C13" s="372">
        <f>('DGRGL-C1'!C18+'DGRGL-C1'!C46)/1000</f>
        <v>1014.1072922000001</v>
      </c>
      <c r="D13" s="372">
        <f>('DGRGL-C1'!D18+'DGRGL-C1'!D46)/1000</f>
        <v>3765.38037594</v>
      </c>
      <c r="E13" s="444">
        <f>+D13/$D$15</f>
        <v>0.9879179274023735</v>
      </c>
      <c r="F13" s="122"/>
      <c r="G13" s="121" t="s">
        <v>30</v>
      </c>
      <c r="H13" s="370">
        <f>(+'DGRGL-C3'!C18+'DGRGL-C3'!C44)/1000</f>
        <v>701.97424028</v>
      </c>
      <c r="I13" s="370">
        <f>(+'DGRGL-C3'!D18+'DGRGL-C3'!D44)/1000</f>
        <v>2606.4303541599998</v>
      </c>
      <c r="J13" s="444">
        <f>+I13/$I$15</f>
        <v>0.6838457250842761</v>
      </c>
    </row>
    <row r="14" spans="2:14" ht="19.5" customHeight="1">
      <c r="B14" s="121" t="s">
        <v>27</v>
      </c>
      <c r="C14" s="372">
        <f>+'DGRGL-C1'!C15/1000</f>
        <v>12.40236419</v>
      </c>
      <c r="D14" s="372">
        <f>+'DGRGL-C1'!D15/1000</f>
        <v>46.049978239999994</v>
      </c>
      <c r="E14" s="444">
        <f>+D14/$D$15</f>
        <v>0.012082072597626487</v>
      </c>
      <c r="F14" s="122"/>
      <c r="G14" s="121" t="s">
        <v>28</v>
      </c>
      <c r="H14" s="370">
        <f>(+'DGRGL-C3'!C15+'DGRGL-C3'!C42)/1000</f>
        <v>324.53541610999997</v>
      </c>
      <c r="I14" s="370">
        <f>(+'DGRGL-C3'!D15+'DGRGL-C3'!D42)/1000</f>
        <v>1205.00000001643</v>
      </c>
      <c r="J14" s="444">
        <f>+I14/$I$15</f>
        <v>0.31615427491572395</v>
      </c>
      <c r="N14" s="225"/>
    </row>
    <row r="15" spans="2:10" ht="19.5" customHeight="1">
      <c r="B15" s="123" t="s">
        <v>31</v>
      </c>
      <c r="C15" s="373">
        <f>+C14+C13</f>
        <v>1026.5096563900001</v>
      </c>
      <c r="D15" s="373">
        <f>+D14+D13</f>
        <v>3811.43035418</v>
      </c>
      <c r="E15" s="445">
        <f>SUM(E13:E14)</f>
        <v>1</v>
      </c>
      <c r="F15" s="124"/>
      <c r="G15" s="123" t="s">
        <v>31</v>
      </c>
      <c r="H15" s="371">
        <f>+H14+H13</f>
        <v>1026.50965639</v>
      </c>
      <c r="I15" s="371">
        <f>+I14+I13</f>
        <v>3811.43035417643</v>
      </c>
      <c r="J15" s="445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-3.57022145180963E-09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4" t="s">
        <v>13</v>
      </c>
      <c r="D19" s="374" t="s">
        <v>130</v>
      </c>
      <c r="E19" s="377" t="s">
        <v>26</v>
      </c>
      <c r="F19" s="119"/>
      <c r="G19" s="229"/>
      <c r="H19" s="374" t="s">
        <v>13</v>
      </c>
      <c r="I19" s="374" t="s">
        <v>130</v>
      </c>
      <c r="J19" s="380" t="s">
        <v>26</v>
      </c>
      <c r="M19" s="230"/>
      <c r="N19" s="230"/>
      <c r="O19" s="54"/>
    </row>
    <row r="20" spans="2:15" ht="19.5" customHeight="1">
      <c r="B20" s="121" t="s">
        <v>86</v>
      </c>
      <c r="C20" s="372">
        <f>('DGRGL-C2'!C15+'DGRGL-C2'!C20)/1000</f>
        <v>379.37129331</v>
      </c>
      <c r="D20" s="372">
        <f>('DGRGL-C2'!D15+'DGRGL-C2'!D20)/1000</f>
        <v>1408.6056120599999</v>
      </c>
      <c r="E20" s="444">
        <f>+D20/$D$23</f>
        <v>0.3695740132087631</v>
      </c>
      <c r="F20" s="122"/>
      <c r="G20" s="389" t="s">
        <v>161</v>
      </c>
      <c r="H20" s="378">
        <f>(+'DGRGL-C5'!C19+'DGRGL-C5'!C46+'DGRGL-C5'!C59)/1000</f>
        <v>588.26710457</v>
      </c>
      <c r="I20" s="378">
        <f>(+'DGRGL-C5'!D19+'DGRGL-C5'!D46+'DGRGL-C5'!D59)/1000</f>
        <v>2184.23575927</v>
      </c>
      <c r="J20" s="446">
        <f aca="true" t="shared" si="0" ref="J20:J28">+I20/$I$29</f>
        <v>0.5730750810861011</v>
      </c>
      <c r="M20" s="230"/>
      <c r="N20" s="230"/>
      <c r="O20" s="54"/>
    </row>
    <row r="21" spans="2:15" ht="19.5" customHeight="1">
      <c r="B21" s="121" t="s">
        <v>85</v>
      </c>
      <c r="C21" s="372">
        <f>('DGRGL-C2'!C16+'DGRGL-C2'!C21)/1000</f>
        <v>636.0604197600001</v>
      </c>
      <c r="D21" s="372">
        <f>('DGRGL-C2'!D16+'DGRGL-C2'!D21)/1000</f>
        <v>2361.69233857</v>
      </c>
      <c r="E21" s="444">
        <f>+D21/$D$23</f>
        <v>0.6196341318371277</v>
      </c>
      <c r="F21" s="122"/>
      <c r="G21" s="389" t="s">
        <v>439</v>
      </c>
      <c r="H21" s="378">
        <f>+'DGRGL-C5'!C33/1000</f>
        <v>324.53541610999997</v>
      </c>
      <c r="I21" s="378">
        <f>+'DGRGL-C5'!D33/1000</f>
        <v>1205.00000002</v>
      </c>
      <c r="J21" s="446">
        <f t="shared" si="0"/>
        <v>0.3161542749171939</v>
      </c>
      <c r="M21" s="232"/>
      <c r="N21" s="233"/>
      <c r="O21" s="54"/>
    </row>
    <row r="22" spans="2:15" ht="19.5" customHeight="1">
      <c r="B22" s="121" t="s">
        <v>239</v>
      </c>
      <c r="C22" s="372">
        <f>('DGRGL-C2'!C17+'DGRGL-C2'!C22)/1000</f>
        <v>11.077943320000001</v>
      </c>
      <c r="D22" s="372">
        <f>('DGRGL-C2'!D17+'DGRGL-C2'!D22)/1000</f>
        <v>41.13240355</v>
      </c>
      <c r="E22" s="444">
        <f>+D22/$D$23</f>
        <v>0.0107918549541093</v>
      </c>
      <c r="F22" s="124"/>
      <c r="G22" s="389" t="s">
        <v>148</v>
      </c>
      <c r="H22" s="378">
        <f>(+'DGRGL-C5'!C43+'DGRGL-C5'!C103)/1000</f>
        <v>47.543623090000004</v>
      </c>
      <c r="I22" s="378">
        <f>(+'DGRGL-C5'!D43+'DGRGL-C5'!D103)/1000</f>
        <v>176.52947253</v>
      </c>
      <c r="J22" s="446">
        <f t="shared" si="0"/>
        <v>0.04631580696125355</v>
      </c>
      <c r="M22" s="234"/>
      <c r="N22" s="230"/>
      <c r="O22" s="54"/>
    </row>
    <row r="23" spans="2:15" ht="19.5" customHeight="1">
      <c r="B23" s="123" t="s">
        <v>31</v>
      </c>
      <c r="C23" s="373">
        <f>+C21+C20+C22</f>
        <v>1026.5096563900001</v>
      </c>
      <c r="D23" s="373">
        <f>+D21+D20+D22</f>
        <v>3811.43035418</v>
      </c>
      <c r="E23" s="445">
        <f>+E21+E20+E22</f>
        <v>1</v>
      </c>
      <c r="F23" s="124"/>
      <c r="G23" s="389" t="s">
        <v>254</v>
      </c>
      <c r="H23" s="378">
        <f>(+'DGRGL-C5'!C36)/1000</f>
        <v>38.11539289</v>
      </c>
      <c r="I23" s="378">
        <f>(+'DGRGL-C5'!D36)/1000</f>
        <v>141.5224538</v>
      </c>
      <c r="J23" s="446">
        <f t="shared" si="0"/>
        <v>0.03713106121568336</v>
      </c>
      <c r="M23" s="230"/>
      <c r="N23" s="230"/>
      <c r="O23" s="54"/>
    </row>
    <row r="24" spans="3:15" ht="19.5" customHeight="1">
      <c r="C24" s="289"/>
      <c r="D24" s="478"/>
      <c r="E24" s="290"/>
      <c r="F24" s="124"/>
      <c r="G24" s="389" t="s">
        <v>215</v>
      </c>
      <c r="H24" s="378">
        <f>+'DGRGL-C5'!C37/1000</f>
        <v>14.924879290000002</v>
      </c>
      <c r="I24" s="378">
        <f>+'DGRGL-C5'!D37/1000</f>
        <v>55.4160768</v>
      </c>
      <c r="J24" s="446">
        <f t="shared" si="0"/>
        <v>0.01453944363416493</v>
      </c>
      <c r="M24" s="230"/>
      <c r="N24" s="230"/>
      <c r="O24" s="54"/>
    </row>
    <row r="25" spans="3:15" ht="25.5">
      <c r="C25" s="289"/>
      <c r="D25" s="478"/>
      <c r="E25" s="290"/>
      <c r="F25" s="124"/>
      <c r="G25" s="231" t="s">
        <v>162</v>
      </c>
      <c r="H25" s="378">
        <f>+'DGRGL-C5'!C28/1000</f>
        <v>12.40236419</v>
      </c>
      <c r="I25" s="378">
        <f>+'DGRGL-C5'!D28/1000</f>
        <v>46.049978239999994</v>
      </c>
      <c r="J25" s="446">
        <f t="shared" si="0"/>
        <v>0.012082072597658184</v>
      </c>
      <c r="M25" s="230"/>
      <c r="N25" s="230"/>
      <c r="O25" s="54"/>
    </row>
    <row r="26" spans="2:15" ht="19.5" customHeight="1">
      <c r="B26" s="517" t="s">
        <v>33</v>
      </c>
      <c r="C26" s="518"/>
      <c r="D26" s="518"/>
      <c r="E26" s="519"/>
      <c r="F26" s="124"/>
      <c r="G26" s="389" t="s">
        <v>153</v>
      </c>
      <c r="H26" s="378">
        <f>(+'DGRGL-C5'!C38+'DGRGL-C5'!C98)/1000</f>
        <v>0.6900400600000001</v>
      </c>
      <c r="I26" s="378">
        <f>(+'DGRGL-C5'!D38+'DGRGL-C5'!D98)/1000</f>
        <v>2.56211874</v>
      </c>
      <c r="J26" s="446">
        <f t="shared" si="0"/>
        <v>0.0006722197447991783</v>
      </c>
      <c r="M26" s="230"/>
      <c r="N26" s="230"/>
      <c r="O26" s="54"/>
    </row>
    <row r="27" spans="2:16" ht="19.5" customHeight="1">
      <c r="B27" s="120"/>
      <c r="C27" s="374" t="s">
        <v>13</v>
      </c>
      <c r="D27" s="374" t="s">
        <v>130</v>
      </c>
      <c r="E27" s="377" t="s">
        <v>26</v>
      </c>
      <c r="F27" s="116"/>
      <c r="G27" s="389" t="s">
        <v>203</v>
      </c>
      <c r="H27" s="378">
        <f>+'DGRGL-C5'!C40/1000</f>
        <v>0.029921</v>
      </c>
      <c r="I27" s="378">
        <f>+'DGRGL-C5'!D40/1000</f>
        <v>0.11109667000000001</v>
      </c>
      <c r="J27" s="446">
        <f t="shared" si="0"/>
        <v>2.914828809044133E-05</v>
      </c>
      <c r="M27" s="232"/>
      <c r="N27" s="230"/>
      <c r="O27" s="54"/>
      <c r="P27" s="55"/>
    </row>
    <row r="28" spans="2:16" ht="19.5" customHeight="1">
      <c r="B28" s="121" t="s">
        <v>246</v>
      </c>
      <c r="C28" s="370">
        <f>(+'DGRGL-C5'!C19+'DGRGL-C5'!C46+'DGRGL-C5'!C58)/1000</f>
        <v>588.26710457</v>
      </c>
      <c r="D28" s="370">
        <f>('DGRGL-C5'!D19+'DGRGL-C5'!D46+'DGRGL-C5'!D58)/1000</f>
        <v>2184.23575927</v>
      </c>
      <c r="E28" s="444">
        <f>+C28/$C$32</f>
        <v>0.5730750810847713</v>
      </c>
      <c r="F28" s="119"/>
      <c r="G28" s="389" t="s">
        <v>256</v>
      </c>
      <c r="H28" s="378">
        <f>(+'DGRGL-C5'!C39+'DGRGL-C5'!C99)/1000</f>
        <v>0.00091519</v>
      </c>
      <c r="I28" s="378">
        <f>(+'DGRGL-C5'!D39+'DGRGL-C5'!D99)/1000</f>
        <v>0.0033981</v>
      </c>
      <c r="J28" s="446">
        <f t="shared" si="0"/>
        <v>8.915550552516891E-07</v>
      </c>
      <c r="M28" s="230"/>
      <c r="N28" s="235"/>
      <c r="O28" s="97"/>
      <c r="P28" s="55"/>
    </row>
    <row r="29" spans="2:16" ht="19.5" customHeight="1">
      <c r="B29" s="121" t="s">
        <v>63</v>
      </c>
      <c r="C29" s="370">
        <f>(+'DGRGL-C5'!C35+'DGRGL-C5'!C42+'DGRGL-C5'!C97+'DGRGL-C5'!C102)/1000</f>
        <v>101.30477151999999</v>
      </c>
      <c r="D29" s="370">
        <f>(+'DGRGL-C5'!D35+'DGRGL-C5'!D42+'DGRGL-C5'!D97+'DGRGL-C5'!D102)/1000</f>
        <v>376.14461664000004</v>
      </c>
      <c r="E29" s="444">
        <f>+C29/$C$32</f>
        <v>0.09868857140249974</v>
      </c>
      <c r="F29" s="122"/>
      <c r="G29" s="123" t="s">
        <v>31</v>
      </c>
      <c r="H29" s="379">
        <f>SUM(H20:H28)</f>
        <v>1026.50965639</v>
      </c>
      <c r="I29" s="379">
        <f>SUM(I20:I28)</f>
        <v>3811.4303541700006</v>
      </c>
      <c r="J29" s="447">
        <f>SUM(J20:J28)</f>
        <v>0.9999999999999997</v>
      </c>
      <c r="M29" s="236"/>
      <c r="N29" s="237"/>
      <c r="O29" s="54"/>
      <c r="P29" s="55"/>
    </row>
    <row r="30" spans="2:16" ht="19.5" customHeight="1">
      <c r="B30" s="121" t="s">
        <v>51</v>
      </c>
      <c r="C30" s="370">
        <f>(+'DGRGL-C5'!C27)/1000</f>
        <v>12.40236419</v>
      </c>
      <c r="D30" s="370">
        <f>(+'DGRGL-C5'!D27)/1000</f>
        <v>46.049978239999994</v>
      </c>
      <c r="E30" s="444">
        <f>+C30/$C$32</f>
        <v>0.012082072596975154</v>
      </c>
      <c r="F30" s="122"/>
      <c r="G30" s="119"/>
      <c r="H30" s="498"/>
      <c r="I30" s="498"/>
      <c r="J30" s="499"/>
      <c r="M30" s="236"/>
      <c r="N30" s="237"/>
      <c r="O30" s="54"/>
      <c r="P30" s="55"/>
    </row>
    <row r="31" spans="2:16" ht="19.5" customHeight="1">
      <c r="B31" s="121" t="s">
        <v>439</v>
      </c>
      <c r="C31" s="370">
        <f>(+'DGRGL-C5'!C33)/1000</f>
        <v>324.53541610999997</v>
      </c>
      <c r="D31" s="370">
        <f>(+'DGRGL-C5'!D33)/1000</f>
        <v>1205.00000002</v>
      </c>
      <c r="E31" s="444">
        <f>+C31/$C$32</f>
        <v>0.31615427491575376</v>
      </c>
      <c r="F31" s="122"/>
      <c r="G31" s="117" t="s">
        <v>163</v>
      </c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1">
        <f>+C28+C29+C30+C31</f>
        <v>1026.50965639</v>
      </c>
      <c r="D32" s="371">
        <f>+D28+D29+D30+D31</f>
        <v>3811.43035417</v>
      </c>
      <c r="E32" s="445">
        <f>+E28+E29+E30+E31</f>
        <v>1</v>
      </c>
      <c r="F32" s="122"/>
      <c r="G32" s="117" t="s">
        <v>164</v>
      </c>
      <c r="H32" s="459"/>
      <c r="I32" s="459"/>
      <c r="M32" s="238"/>
      <c r="N32" s="230"/>
      <c r="O32" s="54"/>
      <c r="P32" s="55"/>
    </row>
    <row r="33" spans="2:16" ht="19.5" customHeight="1">
      <c r="B33" s="117" t="s">
        <v>247</v>
      </c>
      <c r="C33" s="477"/>
      <c r="D33" s="479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7" t="s">
        <v>23</v>
      </c>
      <c r="C35" s="518"/>
      <c r="D35" s="518"/>
      <c r="E35" s="519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4" t="s">
        <v>13</v>
      </c>
      <c r="D36" s="374" t="s">
        <v>130</v>
      </c>
      <c r="E36" s="377" t="s">
        <v>26</v>
      </c>
      <c r="F36" s="116"/>
      <c r="G36" s="517" t="s">
        <v>62</v>
      </c>
      <c r="H36" s="518"/>
      <c r="I36" s="518"/>
      <c r="J36" s="519"/>
      <c r="L36" s="238"/>
      <c r="M36" s="241"/>
      <c r="N36" s="241"/>
      <c r="O36" s="54"/>
      <c r="P36" s="55"/>
    </row>
    <row r="37" spans="2:16" ht="19.5" customHeight="1">
      <c r="B37" s="121" t="s">
        <v>130</v>
      </c>
      <c r="C37" s="370">
        <f>(+'DGRGL-C4'!C15+'DGRGL-C4'!C58)/1000</f>
        <v>841.1760718</v>
      </c>
      <c r="D37" s="370">
        <f>(+'DGRGL-C4'!D15+'DGRGL-C4'!D58)/1000</f>
        <v>3123.28675459356</v>
      </c>
      <c r="E37" s="444">
        <f>+D37/$D$41</f>
        <v>0.8194526632673035</v>
      </c>
      <c r="F37" s="119"/>
      <c r="G37" s="118"/>
      <c r="H37" s="520" t="s">
        <v>13</v>
      </c>
      <c r="I37" s="520"/>
      <c r="J37" s="521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0">
        <f>(+'DGRGL-C4'!C29)/1000</f>
        <v>171.75617221</v>
      </c>
      <c r="D38" s="370">
        <f>(+'DGRGL-C4'!D29)/1000</f>
        <v>637.7306674199999</v>
      </c>
      <c r="E38" s="444">
        <f>+D38/$D$41</f>
        <v>0.1673205616154062</v>
      </c>
      <c r="F38" s="119"/>
      <c r="G38" s="390" t="s">
        <v>93</v>
      </c>
      <c r="H38" s="374" t="s">
        <v>27</v>
      </c>
      <c r="I38" s="374" t="s">
        <v>29</v>
      </c>
      <c r="J38" s="392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0">
        <f>(+'DGRGL-C4'!C24)/1000</f>
        <v>3.93818906</v>
      </c>
      <c r="D39" s="370">
        <f>(+'DGRGL-C4'!D24)/1000</f>
        <v>14.62249598</v>
      </c>
      <c r="E39" s="444">
        <f>+D39/$D$41</f>
        <v>0.003836485156799424</v>
      </c>
      <c r="F39" s="124"/>
      <c r="G39" s="243">
        <v>2009</v>
      </c>
      <c r="H39" s="370">
        <v>71</v>
      </c>
      <c r="I39" s="370">
        <v>192</v>
      </c>
      <c r="J39" s="393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0">
        <f>(+'DGRGL-C4'!C34)/1000</f>
        <v>9.63922332</v>
      </c>
      <c r="D40" s="370">
        <f>(+'DGRGL-C4'!D34)/1000</f>
        <v>35.79043619</v>
      </c>
      <c r="E40" s="444">
        <f>+D40/$D$41</f>
        <v>0.009390289960490858</v>
      </c>
      <c r="F40" s="124"/>
      <c r="G40" s="243">
        <v>2010</v>
      </c>
      <c r="H40" s="370">
        <v>72</v>
      </c>
      <c r="I40" s="370">
        <v>249</v>
      </c>
      <c r="J40" s="393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1">
        <f>+C40+C38+C39+C37</f>
        <v>1026.5096563900001</v>
      </c>
      <c r="D41" s="371">
        <f>+D40+D38+D39+D37</f>
        <v>3811.43035418356</v>
      </c>
      <c r="E41" s="445">
        <f>+E40+E38+E39+E37</f>
        <v>1</v>
      </c>
      <c r="F41" s="124"/>
      <c r="G41" s="243">
        <v>2011</v>
      </c>
      <c r="H41" s="370">
        <v>70</v>
      </c>
      <c r="I41" s="370">
        <v>315</v>
      </c>
      <c r="J41" s="393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0">
        <f>+C37</f>
        <v>841.1760718</v>
      </c>
      <c r="D42" s="370">
        <f>+D37</f>
        <v>3123.28675459356</v>
      </c>
      <c r="E42" s="444">
        <f>+C42/$C$44</f>
        <v>0.8194526632688718</v>
      </c>
      <c r="F42" s="124"/>
      <c r="G42" s="243">
        <v>2012</v>
      </c>
      <c r="H42" s="370">
        <v>63.198</v>
      </c>
      <c r="I42" s="378">
        <v>425.85551902000003</v>
      </c>
      <c r="J42" s="393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0">
        <f>+C39+C38+C40</f>
        <v>185.33358459</v>
      </c>
      <c r="D43" s="370">
        <f>+D39+D38+D40</f>
        <v>688.14359959</v>
      </c>
      <c r="E43" s="444">
        <f>+C43/$C$44</f>
        <v>0.18054733673112813</v>
      </c>
      <c r="F43" s="122"/>
      <c r="G43" s="243">
        <v>2013</v>
      </c>
      <c r="H43" s="370">
        <v>56.5285205</v>
      </c>
      <c r="I43" s="378">
        <v>591.0717845600001</v>
      </c>
      <c r="J43" s="393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1">
        <f>+C43+C42</f>
        <v>1026.5096563900001</v>
      </c>
      <c r="D44" s="371">
        <f>+D43+D42</f>
        <v>3811.43035418356</v>
      </c>
      <c r="E44" s="445">
        <f>+E43+E42</f>
        <v>0.9999999999999999</v>
      </c>
      <c r="F44" s="122"/>
      <c r="G44" s="243">
        <v>2014</v>
      </c>
      <c r="H44" s="370">
        <v>50.26007419</v>
      </c>
      <c r="I44" s="370">
        <v>752.8751732600001</v>
      </c>
      <c r="J44" s="393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0">
        <v>44.4029874</v>
      </c>
      <c r="I45" s="370">
        <v>911.7782794100002</v>
      </c>
      <c r="J45" s="393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0">
        <v>38.965713019999995</v>
      </c>
      <c r="I46" s="370">
        <v>1125.5192306200001</v>
      </c>
      <c r="J46" s="393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7" t="s">
        <v>8</v>
      </c>
      <c r="C47" s="518"/>
      <c r="D47" s="518"/>
      <c r="E47" s="519"/>
      <c r="F47" s="116"/>
      <c r="G47" s="243">
        <v>2017</v>
      </c>
      <c r="H47" s="370">
        <v>33.93910748</v>
      </c>
      <c r="I47" s="370">
        <v>695.27858884</v>
      </c>
      <c r="J47" s="393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4" t="s">
        <v>13</v>
      </c>
      <c r="D48" s="374" t="s">
        <v>130</v>
      </c>
      <c r="E48" s="377" t="s">
        <v>26</v>
      </c>
      <c r="F48" s="119"/>
      <c r="G48" s="460">
        <v>2018</v>
      </c>
      <c r="H48" s="370">
        <v>29.32455225</v>
      </c>
      <c r="I48" s="370">
        <v>1046.91136084</v>
      </c>
      <c r="J48" s="393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0">
        <f>(+'DGRGL-C2'!C14)/1000</f>
        <v>994.55263027</v>
      </c>
      <c r="D49" s="370">
        <f>(+'DGRGL-C2'!D14)/1000</f>
        <v>3692.7739162</v>
      </c>
      <c r="E49" s="444">
        <f>+D49/$D$51</f>
        <v>0.9688682654663047</v>
      </c>
      <c r="F49" s="247"/>
      <c r="G49" s="460">
        <v>2019</v>
      </c>
      <c r="H49" s="370">
        <v>25.11588378</v>
      </c>
      <c r="I49" s="370">
        <v>1051.14683938</v>
      </c>
      <c r="J49" s="393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0">
        <f>(+'DGRGL-C2'!C19)/1000</f>
        <v>31.95702612</v>
      </c>
      <c r="D50" s="370">
        <f>(+'DGRGL-C2'!D19)/1000</f>
        <v>118.65643798</v>
      </c>
      <c r="E50" s="444">
        <f>+D50/$D$51</f>
        <v>0.031131734533695297</v>
      </c>
      <c r="F50" s="247"/>
      <c r="G50" s="460">
        <v>2020</v>
      </c>
      <c r="H50" s="370">
        <v>21.32238415</v>
      </c>
      <c r="I50" s="370">
        <v>752.79007244</v>
      </c>
      <c r="J50" s="393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1">
        <f>+C50+C49</f>
        <v>1026.50965639</v>
      </c>
      <c r="D51" s="371">
        <f>+D50+D49</f>
        <v>3811.43035418</v>
      </c>
      <c r="E51" s="445">
        <f>+E50+E49</f>
        <v>1</v>
      </c>
      <c r="F51" s="247"/>
      <c r="G51" s="460">
        <v>2021</v>
      </c>
      <c r="H51" s="370">
        <v>17.93927132</v>
      </c>
      <c r="I51" s="370">
        <v>726.5431257600001</v>
      </c>
      <c r="J51" s="393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7"/>
      <c r="D52" s="487"/>
      <c r="E52" s="488"/>
      <c r="F52" s="247"/>
      <c r="G52" s="493" t="s">
        <v>292</v>
      </c>
      <c r="H52" s="370">
        <v>14.9630181</v>
      </c>
      <c r="I52" s="370">
        <v>666.9443867900001</v>
      </c>
      <c r="J52" s="393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7"/>
      <c r="D53" s="487"/>
      <c r="E53" s="488"/>
      <c r="F53" s="247"/>
      <c r="G53" s="494" t="s">
        <v>430</v>
      </c>
      <c r="H53" s="391">
        <f>+C14</f>
        <v>12.40236419</v>
      </c>
      <c r="I53" s="391">
        <f>+C13</f>
        <v>1014.1072922000001</v>
      </c>
      <c r="J53" s="394">
        <f>+I53+H53</f>
        <v>1026.5096563900001</v>
      </c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247"/>
      <c r="G54" s="52"/>
      <c r="H54" s="52"/>
      <c r="I54" s="52"/>
      <c r="J54" s="52"/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124"/>
      <c r="L55" s="238"/>
      <c r="M55" s="248"/>
      <c r="N55" s="230"/>
      <c r="O55" s="54"/>
      <c r="P55" s="55"/>
    </row>
    <row r="56" spans="3:16" ht="19.5" customHeight="1">
      <c r="C56" s="291">
        <f>+C51-C44</f>
        <v>0</v>
      </c>
      <c r="D56" s="291">
        <f>+D51-D44</f>
        <v>-3.5602170100901276E-09</v>
      </c>
      <c r="L56" s="238"/>
      <c r="M56" s="238"/>
      <c r="N56" s="230"/>
      <c r="O56" s="54"/>
      <c r="P56" s="55"/>
    </row>
    <row r="57" spans="2:16" ht="19.5" customHeight="1">
      <c r="B57" s="242"/>
      <c r="C57" s="292"/>
      <c r="D57" s="292"/>
      <c r="L57" s="238"/>
      <c r="M57" s="238"/>
      <c r="N57" s="230"/>
      <c r="O57" s="54"/>
      <c r="P57" s="55"/>
    </row>
    <row r="58" spans="3:16" ht="19.5" customHeight="1">
      <c r="C58" s="293">
        <f>+C51-C41</f>
        <v>0</v>
      </c>
      <c r="D58" s="293">
        <f>+D51-D41</f>
        <v>-3.5602170100901276E-09</v>
      </c>
      <c r="L58" s="238"/>
      <c r="M58" s="238"/>
      <c r="N58" s="230"/>
      <c r="O58" s="54"/>
      <c r="P58" s="55"/>
    </row>
    <row r="59" spans="3:16" ht="25.5" customHeight="1">
      <c r="C59" s="264"/>
      <c r="D59" s="245"/>
      <c r="H59" s="276"/>
      <c r="I59" s="276"/>
      <c r="J59" s="227"/>
      <c r="L59" s="238"/>
      <c r="M59" s="238"/>
      <c r="N59" s="230"/>
      <c r="O59" s="54"/>
      <c r="P59" s="55"/>
    </row>
    <row r="60" spans="7:16" ht="19.5" customHeight="1">
      <c r="G60" s="294"/>
      <c r="H60" s="295">
        <f>+H53-C14</f>
        <v>0</v>
      </c>
      <c r="I60" s="295">
        <f>+I53-C13</f>
        <v>0</v>
      </c>
      <c r="J60" s="294"/>
      <c r="L60" s="238"/>
      <c r="M60" s="238"/>
      <c r="N60" s="230"/>
      <c r="O60" s="54"/>
      <c r="P60" s="55"/>
    </row>
    <row r="61" spans="12:16" ht="19.5" customHeight="1">
      <c r="L61" s="238"/>
      <c r="M61" s="238"/>
      <c r="N61" s="230"/>
      <c r="O61" s="54"/>
      <c r="P61" s="55"/>
    </row>
    <row r="62" spans="8:16" ht="19.5" customHeight="1">
      <c r="H62" s="249"/>
      <c r="I62" s="249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49"/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8:16" ht="19.5" customHeight="1">
      <c r="H72" s="251"/>
      <c r="I72" s="251"/>
      <c r="L72" s="238"/>
      <c r="M72" s="238"/>
      <c r="N72" s="230"/>
      <c r="O72" s="54"/>
      <c r="P72" s="55"/>
    </row>
    <row r="73" spans="12:16" ht="19.5" customHeight="1"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0:16" ht="19.5" customHeight="1">
      <c r="J79" s="249"/>
      <c r="L79" s="238"/>
      <c r="M79" s="238"/>
      <c r="N79" s="230"/>
      <c r="O79" s="54"/>
      <c r="P79" s="55"/>
    </row>
    <row r="82" spans="8:9" ht="19.5" customHeight="1">
      <c r="H82" s="251"/>
      <c r="I82" s="251"/>
    </row>
  </sheetData>
  <sheetProtection/>
  <mergeCells count="13">
    <mergeCell ref="B47:E47"/>
    <mergeCell ref="B35:E35"/>
    <mergeCell ref="B18:E18"/>
    <mergeCell ref="G18:J18"/>
    <mergeCell ref="B26:E26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:G5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169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243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3" t="str">
        <f>+Indice!B7</f>
        <v>AL 31 DE DICIEMBRE DE 2023</v>
      </c>
      <c r="C7" s="503"/>
      <c r="D7" s="503"/>
      <c r="E7" s="503"/>
      <c r="F7" s="503"/>
      <c r="G7" s="503"/>
      <c r="H7" s="503"/>
      <c r="I7" s="503"/>
      <c r="J7" s="503"/>
      <c r="K7" s="503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223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247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165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7"/>
      <c r="G5" s="537"/>
      <c r="H5" s="537"/>
    </row>
    <row r="6" spans="2:4" ht="18" customHeight="1">
      <c r="B6" s="138" t="s">
        <v>248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122</v>
      </c>
      <c r="C8" s="136"/>
      <c r="D8" s="136"/>
      <c r="E8" s="184"/>
      <c r="F8" s="296"/>
      <c r="H8" s="297"/>
      <c r="I8" s="296"/>
    </row>
    <row r="9" spans="2:9" ht="15.75">
      <c r="B9" s="329" t="s">
        <v>388</v>
      </c>
      <c r="C9" s="329"/>
      <c r="D9" s="269"/>
      <c r="E9" s="315">
        <f>+Portada!I34</f>
        <v>3.713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8" t="s">
        <v>126</v>
      </c>
      <c r="C11" s="534" t="s">
        <v>53</v>
      </c>
      <c r="D11" s="529" t="s">
        <v>131</v>
      </c>
      <c r="E11" s="184"/>
      <c r="F11" s="296"/>
      <c r="G11" s="296"/>
      <c r="H11" s="296"/>
      <c r="I11" s="296"/>
    </row>
    <row r="12" spans="2:10" ht="13.5" customHeight="1">
      <c r="B12" s="539"/>
      <c r="C12" s="535"/>
      <c r="D12" s="530"/>
      <c r="E12" s="266"/>
      <c r="F12" s="296"/>
      <c r="G12" s="296"/>
      <c r="H12" s="296"/>
      <c r="I12" s="296"/>
      <c r="J12" s="181"/>
    </row>
    <row r="13" spans="2:9" ht="9" customHeight="1">
      <c r="B13" s="540"/>
      <c r="C13" s="536"/>
      <c r="D13" s="531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135</v>
      </c>
      <c r="C15" s="316">
        <f>+C16</f>
        <v>12402.36419</v>
      </c>
      <c r="D15" s="316">
        <f>+D16</f>
        <v>46049.97824</v>
      </c>
      <c r="F15" s="296"/>
      <c r="G15" s="300"/>
      <c r="H15" s="300"/>
      <c r="I15" s="296"/>
    </row>
    <row r="16" spans="2:9" ht="15">
      <c r="B16" s="22" t="s">
        <v>85</v>
      </c>
      <c r="C16" s="317">
        <v>12402.36419</v>
      </c>
      <c r="D16" s="317">
        <f>ROUND(+C16*$E$9,5)</f>
        <v>46049.97824</v>
      </c>
      <c r="E16" s="465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108</v>
      </c>
      <c r="C18" s="316">
        <f>SUM(C19:C21)</f>
        <v>982150.26608</v>
      </c>
      <c r="D18" s="316">
        <f>SUM(D19:D21)</f>
        <v>3646723.93796</v>
      </c>
      <c r="E18" s="312"/>
      <c r="F18" s="296" t="s">
        <v>118</v>
      </c>
      <c r="G18" s="299">
        <f>+C19+C48</f>
        <v>411328.31943</v>
      </c>
      <c r="H18" s="299">
        <f>+D19+D48</f>
        <v>1527262.05004</v>
      </c>
      <c r="I18" s="296"/>
    </row>
    <row r="19" spans="2:9" ht="15">
      <c r="B19" s="22" t="s">
        <v>89</v>
      </c>
      <c r="C19" s="317">
        <v>379371.29331</v>
      </c>
      <c r="D19" s="317">
        <f>ROUND(+C19*$E$9,5)</f>
        <v>1408605.61206</v>
      </c>
      <c r="E19" s="465"/>
      <c r="F19" s="296"/>
      <c r="G19" s="300"/>
      <c r="H19" s="300"/>
      <c r="I19" s="296"/>
    </row>
    <row r="20" spans="2:9" ht="15">
      <c r="B20" s="22" t="s">
        <v>85</v>
      </c>
      <c r="C20" s="317">
        <v>591701.02945</v>
      </c>
      <c r="D20" s="317">
        <f>ROUND(+C20*$E$9,5)</f>
        <v>2196985.92235</v>
      </c>
      <c r="E20" s="465"/>
      <c r="F20" s="296"/>
      <c r="G20" s="300"/>
      <c r="H20" s="300"/>
      <c r="I20" s="296"/>
    </row>
    <row r="21" spans="2:9" ht="15">
      <c r="B21" s="22" t="s">
        <v>220</v>
      </c>
      <c r="C21" s="317">
        <v>11077.94332</v>
      </c>
      <c r="D21" s="317">
        <f>ROUND(+C21*$E$9,5)</f>
        <v>41132.40355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2" t="s">
        <v>14</v>
      </c>
      <c r="C23" s="543">
        <f>+C18+C15</f>
        <v>994552.63027</v>
      </c>
      <c r="D23" s="543">
        <f>+D18+D15</f>
        <v>3692773.9162</v>
      </c>
      <c r="F23" s="296"/>
      <c r="G23" s="301"/>
      <c r="H23" s="301"/>
      <c r="I23" s="296"/>
    </row>
    <row r="24" spans="2:4" ht="15" customHeight="1">
      <c r="B24" s="533"/>
      <c r="C24" s="544"/>
      <c r="D24" s="544"/>
    </row>
    <row r="25" spans="2:4" ht="4.5" customHeight="1">
      <c r="B25" s="24"/>
      <c r="C25" s="25"/>
      <c r="D25" s="25"/>
    </row>
    <row r="26" spans="2:4" ht="15">
      <c r="B26" s="26" t="s">
        <v>136</v>
      </c>
      <c r="C26" s="461"/>
      <c r="D26" s="461"/>
    </row>
    <row r="27" spans="2:4" ht="15">
      <c r="B27" s="26" t="s">
        <v>137</v>
      </c>
      <c r="C27" s="27"/>
      <c r="D27" s="27"/>
    </row>
    <row r="28" spans="2:4" ht="15">
      <c r="B28" s="26" t="s">
        <v>138</v>
      </c>
      <c r="C28" s="461"/>
      <c r="D28" s="27"/>
    </row>
    <row r="29" spans="2:5" ht="15">
      <c r="B29" s="26" t="s">
        <v>221</v>
      </c>
      <c r="C29" s="443"/>
      <c r="D29" s="302"/>
      <c r="E29" s="303"/>
    </row>
    <row r="30" spans="3:5" ht="15">
      <c r="C30" s="443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102</v>
      </c>
      <c r="C34" s="58"/>
      <c r="D34" s="58"/>
      <c r="E34" s="173"/>
    </row>
    <row r="35" spans="2:4" ht="18">
      <c r="B35" s="138" t="s">
        <v>248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122</v>
      </c>
      <c r="C37" s="136"/>
      <c r="D37" s="136"/>
    </row>
    <row r="38" spans="2:4" ht="16.5" customHeight="1">
      <c r="B38" s="328" t="str">
        <f>+B9</f>
        <v>Al 31 de diciembre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8" t="s">
        <v>126</v>
      </c>
      <c r="C40" s="534" t="s">
        <v>53</v>
      </c>
      <c r="D40" s="529" t="s">
        <v>131</v>
      </c>
    </row>
    <row r="41" spans="2:7" ht="13.5" customHeight="1">
      <c r="B41" s="539"/>
      <c r="C41" s="535"/>
      <c r="D41" s="530"/>
      <c r="E41" s="173"/>
      <c r="G41" s="174"/>
    </row>
    <row r="42" spans="2:4" ht="9" customHeight="1">
      <c r="B42" s="540"/>
      <c r="C42" s="536"/>
      <c r="D42" s="531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31957.02612</v>
      </c>
      <c r="D46" s="319">
        <f>SUM(D47:D49)</f>
        <v>118656.43798</v>
      </c>
      <c r="G46" s="175"/>
    </row>
    <row r="47" spans="2:4" ht="15">
      <c r="B47" s="22" t="s">
        <v>89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31957.02612</v>
      </c>
      <c r="D48" s="321">
        <f>ROUND(+C48*$E$9,5)</f>
        <v>118656.43798</v>
      </c>
    </row>
    <row r="49" spans="2:4" ht="15">
      <c r="B49" s="22" t="s">
        <v>222</v>
      </c>
      <c r="C49" s="463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2" t="s">
        <v>14</v>
      </c>
      <c r="C51" s="541">
        <f>+C46+C44</f>
        <v>31957.02612</v>
      </c>
      <c r="D51" s="541">
        <f>+D46+D44</f>
        <v>118656.43798</v>
      </c>
    </row>
    <row r="52" spans="2:7" ht="15" customHeight="1">
      <c r="B52" s="533"/>
      <c r="C52" s="542"/>
      <c r="D52" s="542"/>
      <c r="G52" s="176"/>
    </row>
    <row r="53" spans="2:4" ht="6" customHeight="1">
      <c r="B53" s="24"/>
      <c r="C53" s="25"/>
      <c r="D53" s="25"/>
    </row>
    <row r="54" spans="2:4" ht="15">
      <c r="B54" s="26" t="s">
        <v>223</v>
      </c>
      <c r="C54" s="443"/>
      <c r="D54" s="443"/>
    </row>
    <row r="55" spans="3:4" ht="15">
      <c r="C55" s="443"/>
      <c r="D55" s="323"/>
    </row>
    <row r="56" ht="15">
      <c r="C56" s="281"/>
    </row>
    <row r="57" ht="15">
      <c r="C57" s="277"/>
    </row>
  </sheetData>
  <sheetProtection/>
  <mergeCells count="13">
    <mergeCell ref="B40:B42"/>
    <mergeCell ref="C40:C42"/>
    <mergeCell ref="C23:C24"/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249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diciembre de 2023</v>
      </c>
      <c r="C8" s="329"/>
      <c r="D8" s="269"/>
      <c r="E8" s="315">
        <f>+Portada!I34</f>
        <v>3.713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121</v>
      </c>
      <c r="C10" s="534" t="s">
        <v>53</v>
      </c>
      <c r="D10" s="529" t="s">
        <v>131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5"/>
      <c r="D11" s="530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6"/>
      <c r="D12" s="531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994552.63027</v>
      </c>
      <c r="D14" s="324">
        <f>SUM(D15:D17)</f>
        <v>3692773.9162</v>
      </c>
      <c r="F14" s="454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379371.29331</v>
      </c>
      <c r="D15" s="325">
        <f>ROUND(+C15*$E$8,5)</f>
        <v>1408605.61206</v>
      </c>
      <c r="E15" s="448"/>
      <c r="F15" s="455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604103.39364</v>
      </c>
      <c r="D16" s="325">
        <f>ROUND(+C16*$E$8,5)</f>
        <v>2243035.90059</v>
      </c>
      <c r="E16" s="448"/>
      <c r="F16" s="455"/>
      <c r="G16" s="254"/>
      <c r="H16" s="254"/>
      <c r="I16" s="254"/>
      <c r="J16" s="254"/>
      <c r="L16" s="255"/>
    </row>
    <row r="17" spans="2:12" ht="16.5" customHeight="1">
      <c r="B17" s="353" t="s">
        <v>222</v>
      </c>
      <c r="C17" s="463">
        <f>+'DGRGL-C1'!C21</f>
        <v>11077.94332</v>
      </c>
      <c r="D17" s="325">
        <f>ROUND(+C17*$E$8,5)</f>
        <v>41132.40355</v>
      </c>
      <c r="E17" s="448"/>
      <c r="F17" s="455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5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31957.02612</v>
      </c>
      <c r="D19" s="324">
        <f>SUM(D20:D22)</f>
        <v>118656.43798</v>
      </c>
      <c r="E19" s="307"/>
      <c r="F19" s="455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5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31957.02612</v>
      </c>
      <c r="D21" s="325">
        <f>ROUND(+C21*$E$8,5)</f>
        <v>118656.43798</v>
      </c>
      <c r="E21" s="307"/>
      <c r="F21" s="455"/>
      <c r="G21" s="254"/>
      <c r="I21" s="254"/>
      <c r="L21" s="255"/>
    </row>
    <row r="22" spans="2:12" ht="16.5" customHeight="1">
      <c r="B22" s="353" t="s">
        <v>222</v>
      </c>
      <c r="C22" s="351">
        <f>+'DGRGL-C1'!C49</f>
        <v>0</v>
      </c>
      <c r="D22" s="351">
        <f>ROUND(+C22*$E$8,5)</f>
        <v>0</v>
      </c>
      <c r="E22" s="307"/>
      <c r="F22" s="455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1026509.65639</v>
      </c>
      <c r="D24" s="545">
        <f>+D19+D14</f>
        <v>3811430.35418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223</v>
      </c>
      <c r="C27" s="491"/>
      <c r="D27" s="449"/>
      <c r="F27" s="258"/>
      <c r="G27" s="258"/>
      <c r="H27" s="254"/>
      <c r="I27" s="254"/>
      <c r="J27" s="310"/>
    </row>
    <row r="28" spans="3:12" ht="15">
      <c r="C28" s="457"/>
      <c r="D28" s="457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248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diciembre de 2023</v>
      </c>
      <c r="C9" s="329"/>
      <c r="D9" s="270"/>
      <c r="E9" s="315">
        <f>+Portada!I34</f>
        <v>3.713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8" t="s">
        <v>252</v>
      </c>
      <c r="C11" s="534" t="s">
        <v>53</v>
      </c>
      <c r="D11" s="529" t="s">
        <v>131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9"/>
      <c r="C12" s="535"/>
      <c r="D12" s="530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40"/>
      <c r="C13" s="536"/>
      <c r="D13" s="531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433</v>
      </c>
      <c r="C15" s="330">
        <f>+C16</f>
        <v>324535.41611</v>
      </c>
      <c r="D15" s="330">
        <f>+D16</f>
        <v>1205000.00001643</v>
      </c>
      <c r="E15" s="63"/>
      <c r="H15" s="209"/>
    </row>
    <row r="16" spans="2:5" ht="15.75">
      <c r="B16" s="353" t="s">
        <v>85</v>
      </c>
      <c r="C16" s="331">
        <v>324535.41611</v>
      </c>
      <c r="D16" s="331">
        <f>+C16*$E$9</f>
        <v>1205000.00001643</v>
      </c>
      <c r="E16" s="63"/>
    </row>
    <row r="17" spans="2:5" ht="15" customHeight="1">
      <c r="B17" s="199"/>
      <c r="C17" s="331"/>
      <c r="D17" s="331"/>
      <c r="E17" s="63"/>
    </row>
    <row r="18" spans="2:6" ht="16.5">
      <c r="B18" s="198" t="s">
        <v>431</v>
      </c>
      <c r="C18" s="330">
        <f>SUM(C19:C21)</f>
        <v>670017.21416</v>
      </c>
      <c r="D18" s="330">
        <f>SUM(D19:D21)</f>
        <v>2487773.9161799997</v>
      </c>
      <c r="E18" s="113"/>
      <c r="F18" s="113"/>
    </row>
    <row r="19" spans="2:4" ht="15.75">
      <c r="B19" s="353" t="s">
        <v>87</v>
      </c>
      <c r="C19" s="463">
        <f>+'DGRGL-C1'!C19</f>
        <v>379371.29331</v>
      </c>
      <c r="D19" s="331">
        <f>ROUND(+C19*$E$9,5)</f>
        <v>1408605.61206</v>
      </c>
    </row>
    <row r="20" spans="2:4" ht="15.75">
      <c r="B20" s="353" t="s">
        <v>85</v>
      </c>
      <c r="C20" s="325">
        <f>+'DGRGL-C1'!C16+'DGRGL-C1'!C20-C16</f>
        <v>279567.97753000003</v>
      </c>
      <c r="D20" s="331">
        <f>ROUND(+C20*$E$9,5)</f>
        <v>1038035.90057</v>
      </c>
    </row>
    <row r="21" spans="2:4" ht="15.75">
      <c r="B21" s="353" t="s">
        <v>220</v>
      </c>
      <c r="C21" s="463">
        <f>+'DGRGL-C1'!C21</f>
        <v>11077.94332</v>
      </c>
      <c r="D21" s="331">
        <f>ROUND(+C21*$E$9,5)</f>
        <v>41132.40355</v>
      </c>
    </row>
    <row r="22" spans="2:4" ht="9.75" customHeight="1">
      <c r="B22" s="33"/>
      <c r="C22" s="332"/>
      <c r="D22" s="331"/>
    </row>
    <row r="23" spans="2:8" ht="15" customHeight="1">
      <c r="B23" s="550" t="s">
        <v>57</v>
      </c>
      <c r="C23" s="552">
        <f>+C18+C15</f>
        <v>994552.63027</v>
      </c>
      <c r="D23" s="552">
        <f>+D18+D15</f>
        <v>3692773.9161964296</v>
      </c>
      <c r="G23" s="177"/>
      <c r="H23" s="177"/>
    </row>
    <row r="24" spans="2:8" ht="15" customHeight="1">
      <c r="B24" s="551"/>
      <c r="C24" s="553"/>
      <c r="D24" s="553"/>
      <c r="G24" s="177"/>
      <c r="H24" s="177"/>
    </row>
    <row r="25" spans="2:4" ht="4.5" customHeight="1">
      <c r="B25" s="554"/>
      <c r="C25" s="554"/>
      <c r="D25" s="554"/>
    </row>
    <row r="26" spans="2:4" ht="15" customHeight="1">
      <c r="B26" s="26" t="s">
        <v>434</v>
      </c>
      <c r="C26" s="466"/>
      <c r="D26" s="39"/>
    </row>
    <row r="27" spans="2:4" ht="15">
      <c r="B27" s="26" t="s">
        <v>432</v>
      </c>
      <c r="C27" s="113"/>
      <c r="D27" s="177"/>
    </row>
    <row r="28" spans="2:8" ht="15">
      <c r="B28" s="26" t="s">
        <v>139</v>
      </c>
      <c r="C28" s="396"/>
      <c r="D28" s="396"/>
      <c r="E28" s="397"/>
      <c r="G28" s="183"/>
      <c r="H28" s="96"/>
    </row>
    <row r="29" spans="2:8" ht="15">
      <c r="B29" s="26" t="s">
        <v>221</v>
      </c>
      <c r="C29" s="398"/>
      <c r="D29" s="398"/>
      <c r="E29" s="397"/>
      <c r="G29" s="177"/>
      <c r="H29" s="177"/>
    </row>
    <row r="30" spans="2:5" ht="15">
      <c r="B30" s="397"/>
      <c r="C30" s="397"/>
      <c r="D30" s="397"/>
      <c r="E30" s="397"/>
    </row>
    <row r="31" spans="2:5" ht="15">
      <c r="B31" s="397"/>
      <c r="C31" s="397"/>
      <c r="D31" s="397"/>
      <c r="E31" s="397"/>
    </row>
    <row r="32" spans="2:4" ht="18">
      <c r="B32" s="46" t="s">
        <v>103</v>
      </c>
      <c r="C32" s="46"/>
      <c r="D32" s="46"/>
    </row>
    <row r="33" spans="2:5" ht="18">
      <c r="B33" s="138" t="s">
        <v>248</v>
      </c>
      <c r="C33" s="138"/>
      <c r="D33" s="138"/>
      <c r="E33" s="138"/>
    </row>
    <row r="34" spans="2:4" ht="15.75">
      <c r="B34" s="136" t="s">
        <v>66</v>
      </c>
      <c r="C34" s="136"/>
      <c r="D34" s="136"/>
    </row>
    <row r="35" spans="2:4" ht="15" customHeight="1">
      <c r="B35" s="334" t="s">
        <v>54</v>
      </c>
      <c r="C35" s="334"/>
      <c r="D35" s="334"/>
    </row>
    <row r="36" spans="2:4" ht="15" customHeight="1">
      <c r="B36" s="329" t="str">
        <f>+B9</f>
        <v>Al 31 de diciembre de 2023</v>
      </c>
      <c r="C36" s="329"/>
      <c r="D36" s="57"/>
    </row>
    <row r="37" spans="2:4" ht="9" customHeight="1">
      <c r="B37" s="38"/>
      <c r="C37" s="38"/>
      <c r="D37" s="38"/>
    </row>
    <row r="38" spans="2:4" ht="15" customHeight="1">
      <c r="B38" s="538" t="s">
        <v>127</v>
      </c>
      <c r="C38" s="534" t="s">
        <v>53</v>
      </c>
      <c r="D38" s="529" t="s">
        <v>131</v>
      </c>
    </row>
    <row r="39" spans="2:7" ht="13.5" customHeight="1">
      <c r="B39" s="539"/>
      <c r="C39" s="535"/>
      <c r="D39" s="530"/>
      <c r="E39" s="46"/>
      <c r="G39" s="182"/>
    </row>
    <row r="40" spans="2:4" ht="9" customHeight="1">
      <c r="B40" s="540"/>
      <c r="C40" s="536"/>
      <c r="D40" s="531"/>
    </row>
    <row r="41" spans="2:4" ht="9.75" customHeight="1">
      <c r="B41" s="30"/>
      <c r="C41" s="31"/>
      <c r="D41" s="31"/>
    </row>
    <row r="42" spans="2:4" ht="16.5">
      <c r="B42" s="32" t="s">
        <v>67</v>
      </c>
      <c r="C42" s="330">
        <v>0</v>
      </c>
      <c r="D42" s="330">
        <v>0</v>
      </c>
    </row>
    <row r="43" spans="2:5" ht="15" customHeight="1">
      <c r="B43" s="33"/>
      <c r="C43" s="331"/>
      <c r="D43" s="331"/>
      <c r="E43" s="85"/>
    </row>
    <row r="44" spans="2:8" ht="16.5">
      <c r="B44" s="32" t="s">
        <v>68</v>
      </c>
      <c r="C44" s="330">
        <f>SUM(C45:C47)</f>
        <v>31957.02612</v>
      </c>
      <c r="D44" s="330">
        <f>SUM(D45:D47)</f>
        <v>118656.43798</v>
      </c>
      <c r="E44" s="85"/>
      <c r="G44" s="177"/>
      <c r="H44" s="177"/>
    </row>
    <row r="45" spans="2:5" ht="15.75">
      <c r="B45" s="353" t="s">
        <v>88</v>
      </c>
      <c r="C45" s="463">
        <v>0</v>
      </c>
      <c r="D45" s="331">
        <f>ROUND(+C45*$E$9,5)</f>
        <v>0</v>
      </c>
      <c r="E45" s="40"/>
    </row>
    <row r="46" spans="2:5" ht="15.75">
      <c r="B46" s="353" t="s">
        <v>85</v>
      </c>
      <c r="C46" s="325">
        <f>+'DGRGL-C1'!C48</f>
        <v>31957.02612</v>
      </c>
      <c r="D46" s="331">
        <f>ROUND(+C46*$E$9,5)</f>
        <v>118656.43798</v>
      </c>
      <c r="E46" s="40"/>
    </row>
    <row r="47" spans="2:5" ht="15.75">
      <c r="B47" s="353" t="s">
        <v>222</v>
      </c>
      <c r="C47" s="463">
        <v>0</v>
      </c>
      <c r="D47" s="331">
        <f>ROUND(+C47*$E$9,5)</f>
        <v>0</v>
      </c>
      <c r="E47" s="256"/>
    </row>
    <row r="48" spans="2:5" ht="9.75" customHeight="1">
      <c r="B48" s="37"/>
      <c r="C48" s="333"/>
      <c r="D48" s="333"/>
      <c r="E48" s="85"/>
    </row>
    <row r="49" spans="2:4" ht="15" customHeight="1">
      <c r="B49" s="550" t="s">
        <v>57</v>
      </c>
      <c r="C49" s="552">
        <f>+C44+C42</f>
        <v>31957.02612</v>
      </c>
      <c r="D49" s="552">
        <f>+D44+D42</f>
        <v>118656.43798</v>
      </c>
    </row>
    <row r="50" spans="2:4" ht="15" customHeight="1">
      <c r="B50" s="551"/>
      <c r="C50" s="553"/>
      <c r="D50" s="553"/>
    </row>
    <row r="51" spans="2:4" ht="5.25" customHeight="1">
      <c r="B51" s="555"/>
      <c r="C51" s="555"/>
      <c r="D51" s="555"/>
    </row>
    <row r="52" spans="2:4" ht="15">
      <c r="B52" s="26" t="s">
        <v>223</v>
      </c>
      <c r="C52" s="458"/>
      <c r="D52" s="399"/>
    </row>
    <row r="53" spans="2:4" ht="15.75">
      <c r="B53" s="400"/>
      <c r="C53" s="399"/>
      <c r="D53" s="399"/>
    </row>
    <row r="54" spans="2:4" ht="15.75">
      <c r="B54" s="400"/>
      <c r="C54" s="397"/>
      <c r="D54" s="397"/>
    </row>
    <row r="55" spans="2:4" ht="15">
      <c r="B55" s="397"/>
      <c r="C55" s="397"/>
      <c r="D55" s="397"/>
    </row>
    <row r="56" spans="2:4" ht="15">
      <c r="B56" s="397"/>
      <c r="C56" s="397"/>
      <c r="D56" s="397"/>
    </row>
    <row r="57" spans="2:4" ht="15">
      <c r="B57" s="397"/>
      <c r="C57" s="397"/>
      <c r="D57" s="397"/>
    </row>
    <row r="58" spans="2:4" ht="15">
      <c r="B58" s="397"/>
      <c r="C58" s="397"/>
      <c r="D58" s="397"/>
    </row>
    <row r="59" spans="2:4" ht="15">
      <c r="B59" s="397"/>
      <c r="C59" s="397"/>
      <c r="D59" s="397"/>
    </row>
    <row r="60" spans="2:4" ht="15">
      <c r="B60" s="397"/>
      <c r="C60" s="397"/>
      <c r="D60" s="397"/>
    </row>
    <row r="61" spans="2:4" ht="15">
      <c r="B61" s="397"/>
      <c r="C61" s="397"/>
      <c r="D61" s="397"/>
    </row>
    <row r="62" spans="2:4" ht="15">
      <c r="B62" s="397"/>
      <c r="C62" s="397"/>
      <c r="D62" s="397"/>
    </row>
    <row r="63" spans="2:4" ht="15">
      <c r="B63" s="397"/>
      <c r="C63" s="397"/>
      <c r="D63" s="397"/>
    </row>
    <row r="64" spans="2:4" ht="15">
      <c r="B64" s="397"/>
      <c r="C64" s="397"/>
      <c r="D64" s="397"/>
    </row>
    <row r="65" spans="2:4" ht="15">
      <c r="B65" s="397"/>
      <c r="C65" s="397"/>
      <c r="D65" s="397"/>
    </row>
    <row r="66" spans="2:4" ht="15">
      <c r="B66" s="397"/>
      <c r="C66" s="397"/>
      <c r="D66" s="397"/>
    </row>
    <row r="67" spans="2:4" ht="15">
      <c r="B67" s="397"/>
      <c r="C67" s="397"/>
      <c r="D67" s="397"/>
    </row>
    <row r="68" spans="2:4" ht="15">
      <c r="B68" s="397"/>
      <c r="C68" s="397"/>
      <c r="D68" s="397"/>
    </row>
    <row r="69" spans="2:4" ht="15">
      <c r="B69" s="397"/>
      <c r="C69" s="397"/>
      <c r="D69" s="397"/>
    </row>
  </sheetData>
  <sheetProtection/>
  <mergeCells count="14">
    <mergeCell ref="B51:D51"/>
    <mergeCell ref="B49:B50"/>
    <mergeCell ref="C49:C50"/>
    <mergeCell ref="D49:D50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248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100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diciembre de 2023</v>
      </c>
      <c r="C9" s="329"/>
      <c r="D9" s="270"/>
      <c r="E9" s="315">
        <f>+Portada!I34</f>
        <v>3.713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2" t="s">
        <v>253</v>
      </c>
      <c r="C11" s="534" t="s">
        <v>53</v>
      </c>
      <c r="D11" s="529" t="s">
        <v>131</v>
      </c>
      <c r="E11" s="63"/>
      <c r="H11" s="211"/>
      <c r="I11" s="211"/>
    </row>
    <row r="12" spans="2:9" ht="13.5" customHeight="1">
      <c r="B12" s="548" t="s">
        <v>32</v>
      </c>
      <c r="C12" s="535"/>
      <c r="D12" s="530"/>
      <c r="E12" s="86"/>
      <c r="G12" s="182"/>
      <c r="H12" s="211"/>
      <c r="I12" s="211"/>
    </row>
    <row r="13" spans="2:9" ht="9" customHeight="1">
      <c r="B13" s="549"/>
      <c r="C13" s="536"/>
      <c r="D13" s="531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116</v>
      </c>
      <c r="C15" s="335">
        <f>SUM(C16:C18)</f>
        <v>809219.04568</v>
      </c>
      <c r="D15" s="335">
        <f>SUM(D16:D18)</f>
        <v>3004630.31661</v>
      </c>
      <c r="E15" s="63"/>
      <c r="G15" s="211"/>
      <c r="H15" s="211"/>
      <c r="I15" s="211"/>
    </row>
    <row r="16" spans="2:9" ht="15.75">
      <c r="B16" s="339" t="s">
        <v>88</v>
      </c>
      <c r="C16" s="480">
        <v>206440.07291</v>
      </c>
      <c r="D16" s="331">
        <f>ROUND(+C16*$E$9,5)</f>
        <v>766511.99071</v>
      </c>
      <c r="E16" s="449"/>
      <c r="F16" s="451"/>
      <c r="G16" s="213"/>
      <c r="H16" s="211"/>
      <c r="I16" s="211"/>
    </row>
    <row r="17" spans="2:9" ht="15.75">
      <c r="B17" s="339" t="s">
        <v>85</v>
      </c>
      <c r="C17" s="480">
        <v>591701.02945</v>
      </c>
      <c r="D17" s="331">
        <f>ROUND(+C17*$E$9,5)</f>
        <v>2196985.92235</v>
      </c>
      <c r="E17" s="449"/>
      <c r="F17" s="451"/>
      <c r="G17" s="213"/>
      <c r="H17" s="211"/>
      <c r="I17" s="211"/>
    </row>
    <row r="18" spans="2:9" ht="15.75">
      <c r="B18" s="339" t="s">
        <v>226</v>
      </c>
      <c r="C18" s="480">
        <v>11077.94332</v>
      </c>
      <c r="D18" s="331">
        <f>ROUND(+C18*$E$9,5)</f>
        <v>41132.40355</v>
      </c>
      <c r="E18" s="449"/>
      <c r="F18" s="451"/>
      <c r="G18" s="213"/>
      <c r="H18" s="211"/>
      <c r="I18" s="211"/>
    </row>
    <row r="19" spans="2:7" ht="15" customHeight="1">
      <c r="B19" s="43"/>
      <c r="C19" s="331"/>
      <c r="D19" s="337"/>
      <c r="F19" s="449"/>
      <c r="G19" s="211"/>
    </row>
    <row r="20" spans="2:7" ht="16.5">
      <c r="B20" s="44" t="s">
        <v>56</v>
      </c>
      <c r="C20" s="335">
        <f>+C21+C22</f>
        <v>185333.58458999998</v>
      </c>
      <c r="D20" s="335">
        <f>+D21+D22</f>
        <v>688143.59959</v>
      </c>
      <c r="F20" s="450"/>
      <c r="G20" s="211"/>
    </row>
    <row r="21" spans="2:7" ht="15.75">
      <c r="B21" s="339" t="s">
        <v>227</v>
      </c>
      <c r="C21" s="331">
        <f>+C25+C30+C35</f>
        <v>172931.2204</v>
      </c>
      <c r="D21" s="331">
        <f>+D25+D30+D35</f>
        <v>642093.62135</v>
      </c>
      <c r="F21" s="212"/>
      <c r="G21" s="213"/>
    </row>
    <row r="22" spans="2:7" ht="15.75">
      <c r="B22" s="339" t="s">
        <v>85</v>
      </c>
      <c r="C22" s="331">
        <f>+C26+C31+C36</f>
        <v>12402.36419</v>
      </c>
      <c r="D22" s="331">
        <f>+D26+D31+D36</f>
        <v>46049.97824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3938.18906</v>
      </c>
      <c r="D24" s="342">
        <f>SUM(D25:D27)</f>
        <v>14622.49598</v>
      </c>
      <c r="G24" s="211"/>
    </row>
    <row r="25" spans="2:7" ht="15">
      <c r="B25" s="41" t="s">
        <v>89</v>
      </c>
      <c r="C25" s="481">
        <v>3938.18906</v>
      </c>
      <c r="D25" s="341">
        <f>ROUND(+C25*$E$9,5)</f>
        <v>14622.49598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224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170</v>
      </c>
      <c r="C29" s="342">
        <f>SUM(C30:C32)</f>
        <v>171756.17221</v>
      </c>
      <c r="D29" s="342">
        <f>SUM(D30:D32)</f>
        <v>637730.66742</v>
      </c>
      <c r="G29" s="211"/>
    </row>
    <row r="30" spans="2:7" ht="15">
      <c r="B30" s="41" t="s">
        <v>88</v>
      </c>
      <c r="C30" s="481">
        <v>159353.80802</v>
      </c>
      <c r="D30" s="341">
        <f>ROUND(+C30*$E$9,5)</f>
        <v>591680.68918</v>
      </c>
      <c r="G30" s="211"/>
    </row>
    <row r="31" spans="2:7" ht="15">
      <c r="B31" s="41" t="s">
        <v>85</v>
      </c>
      <c r="C31" s="341">
        <v>12402.36419</v>
      </c>
      <c r="D31" s="341">
        <f>ROUND(+C31*$E$9,5)</f>
        <v>46049.97824</v>
      </c>
      <c r="G31" s="211"/>
    </row>
    <row r="32" spans="2:7" ht="15">
      <c r="B32" s="41" t="s">
        <v>224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1" t="s">
        <v>171</v>
      </c>
      <c r="C34" s="342">
        <f>SUM(C35:C37)</f>
        <v>9639.22332</v>
      </c>
      <c r="D34" s="342">
        <f>SUM(D35:D37)</f>
        <v>35790.43619</v>
      </c>
      <c r="G34" s="211"/>
    </row>
    <row r="35" spans="2:7" ht="15">
      <c r="B35" s="41" t="s">
        <v>89</v>
      </c>
      <c r="C35" s="481">
        <v>9639.22332</v>
      </c>
      <c r="D35" s="341">
        <f>ROUND(+C35*$E$9,5)</f>
        <v>35790.43619</v>
      </c>
      <c r="G35" s="211"/>
    </row>
    <row r="36" spans="2:4" ht="15">
      <c r="B36" s="41" t="s">
        <v>90</v>
      </c>
      <c r="C36" s="333">
        <v>0</v>
      </c>
      <c r="D36" s="341">
        <f>ROUND(+C36*$E$9,5)</f>
        <v>0</v>
      </c>
    </row>
    <row r="37" spans="2:4" ht="15">
      <c r="B37" s="41" t="s">
        <v>224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994552.63027</v>
      </c>
      <c r="D39" s="552">
        <f>+D20+D15</f>
        <v>3692773.9162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7" t="s">
        <v>140</v>
      </c>
      <c r="C42" s="496"/>
      <c r="D42" s="490"/>
    </row>
    <row r="43" spans="2:4" ht="15">
      <c r="B43" s="26" t="s">
        <v>225</v>
      </c>
      <c r="C43" s="489"/>
      <c r="D43" s="26"/>
    </row>
    <row r="44" spans="2:4" ht="15">
      <c r="B44" s="556" t="s">
        <v>228</v>
      </c>
      <c r="C44" s="556"/>
      <c r="D44" s="556"/>
    </row>
    <row r="45" spans="2:5" ht="15">
      <c r="B45" s="401"/>
      <c r="C45" s="402"/>
      <c r="D45" s="403"/>
      <c r="E45" s="397"/>
    </row>
    <row r="46" spans="2:7" ht="15">
      <c r="B46" s="401"/>
      <c r="C46" s="403"/>
      <c r="D46" s="403"/>
      <c r="E46" s="397"/>
      <c r="F46" s="177"/>
      <c r="G46" s="177"/>
    </row>
    <row r="47" spans="2:5" ht="15">
      <c r="B47" s="397"/>
      <c r="C47" s="397"/>
      <c r="D47" s="397"/>
      <c r="E47" s="397"/>
    </row>
    <row r="48" spans="2:4" ht="18">
      <c r="B48" s="46" t="s">
        <v>104</v>
      </c>
      <c r="C48" s="47"/>
      <c r="D48" s="47"/>
    </row>
    <row r="49" spans="2:5" ht="18">
      <c r="B49" s="138" t="s">
        <v>248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100</v>
      </c>
      <c r="C51" s="334"/>
      <c r="D51" s="334"/>
      <c r="E51" s="62"/>
    </row>
    <row r="52" spans="2:4" ht="15" customHeight="1">
      <c r="B52" s="329" t="str">
        <f>+B9</f>
        <v>Al 31 de diciembre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2" t="s">
        <v>172</v>
      </c>
      <c r="C54" s="534" t="s">
        <v>53</v>
      </c>
      <c r="D54" s="529" t="s">
        <v>131</v>
      </c>
      <c r="H54" s="177"/>
      <c r="I54" s="177"/>
    </row>
    <row r="55" spans="2:7" ht="13.5" customHeight="1">
      <c r="B55" s="557" t="s">
        <v>173</v>
      </c>
      <c r="C55" s="535"/>
      <c r="D55" s="530"/>
      <c r="E55" s="46"/>
      <c r="G55" s="182"/>
    </row>
    <row r="56" spans="2:4" ht="9" customHeight="1">
      <c r="B56" s="558"/>
      <c r="C56" s="536"/>
      <c r="D56" s="531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31957.02612</v>
      </c>
      <c r="D58" s="335">
        <f>SUM(D59:D61)</f>
        <v>118656.43798356</v>
      </c>
    </row>
    <row r="59" spans="2:4" ht="15.75">
      <c r="B59" s="45" t="s">
        <v>87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31957.02612</v>
      </c>
      <c r="D60" s="331">
        <f>+C60*$E$9</f>
        <v>118656.43798356</v>
      </c>
    </row>
    <row r="61" spans="2:4" ht="15.75">
      <c r="B61" s="45" t="s">
        <v>222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31957.02612</v>
      </c>
      <c r="D65" s="552">
        <f>+D63+D58</f>
        <v>118656.43798356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223</v>
      </c>
      <c r="C68" s="404"/>
      <c r="D68" s="399"/>
    </row>
    <row r="69" spans="2:4" ht="15">
      <c r="B69" s="397"/>
      <c r="C69" s="399"/>
      <c r="D69" s="399"/>
    </row>
    <row r="70" spans="2:4" ht="15">
      <c r="B70" s="397"/>
      <c r="C70" s="405"/>
      <c r="D70" s="405"/>
    </row>
    <row r="71" spans="2:4" ht="15">
      <c r="B71" s="397"/>
      <c r="C71" s="399"/>
      <c r="D71" s="399"/>
    </row>
    <row r="72" spans="2:4" ht="15">
      <c r="B72" s="397"/>
      <c r="C72" s="397"/>
      <c r="D72" s="397"/>
    </row>
    <row r="73" spans="2:4" ht="15">
      <c r="B73" s="397"/>
      <c r="C73" s="397"/>
      <c r="D73" s="397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248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diciembre de 2023</v>
      </c>
      <c r="C9" s="329"/>
      <c r="D9" s="269"/>
      <c r="E9" s="315">
        <f>+Portada!I34</f>
        <v>3.713</v>
      </c>
    </row>
    <row r="10" spans="2:4" ht="7.5" customHeight="1">
      <c r="B10" s="87"/>
      <c r="C10" s="87"/>
      <c r="D10" s="87"/>
    </row>
    <row r="11" spans="2:4" ht="15" customHeight="1">
      <c r="B11" s="538" t="s">
        <v>101</v>
      </c>
      <c r="C11" s="534" t="s">
        <v>53</v>
      </c>
      <c r="D11" s="529" t="s">
        <v>131</v>
      </c>
    </row>
    <row r="12" spans="2:4" ht="13.5" customHeight="1">
      <c r="B12" s="539"/>
      <c r="C12" s="535"/>
      <c r="D12" s="530"/>
    </row>
    <row r="13" spans="2:4" ht="9" customHeight="1">
      <c r="B13" s="540"/>
      <c r="C13" s="536"/>
      <c r="D13" s="531"/>
    </row>
    <row r="14" spans="2:4" ht="9" customHeight="1">
      <c r="B14" s="88"/>
      <c r="C14" s="88"/>
      <c r="D14" s="106"/>
    </row>
    <row r="15" spans="2:5" ht="15.75">
      <c r="B15" s="382" t="s">
        <v>80</v>
      </c>
      <c r="C15" s="349">
        <f>+C17</f>
        <v>379371.29331</v>
      </c>
      <c r="D15" s="349">
        <f>+D17</f>
        <v>1408605.61206</v>
      </c>
      <c r="E15" s="449"/>
    </row>
    <row r="16" spans="2:4" ht="9.75" customHeight="1">
      <c r="B16" s="73"/>
      <c r="C16" s="349"/>
      <c r="D16" s="349"/>
    </row>
    <row r="17" spans="2:5" ht="15.75">
      <c r="B17" s="381" t="s">
        <v>92</v>
      </c>
      <c r="C17" s="349">
        <f>+C19</f>
        <v>379371.29331</v>
      </c>
      <c r="D17" s="349">
        <f>+D19</f>
        <v>1408605.61206</v>
      </c>
      <c r="E17" s="449"/>
    </row>
    <row r="18" spans="2:4" ht="7.5" customHeight="1">
      <c r="B18" s="383"/>
      <c r="C18" s="347"/>
      <c r="D18" s="347"/>
    </row>
    <row r="19" spans="2:5" ht="15">
      <c r="B19" s="355" t="s">
        <v>141</v>
      </c>
      <c r="C19" s="347">
        <f>SUM(C20:C21)</f>
        <v>379371.29331</v>
      </c>
      <c r="D19" s="347">
        <f>SUM(D20:D21)</f>
        <v>1408605.61206</v>
      </c>
      <c r="E19" s="449"/>
    </row>
    <row r="20" spans="2:4" ht="15">
      <c r="B20" s="354" t="s">
        <v>143</v>
      </c>
      <c r="C20" s="348">
        <v>286391.24381</v>
      </c>
      <c r="D20" s="348">
        <f>ROUND(+C20*$E$9,5)</f>
        <v>1063370.68827</v>
      </c>
    </row>
    <row r="21" spans="2:4" ht="15">
      <c r="B21" s="354" t="s">
        <v>142</v>
      </c>
      <c r="C21" s="348">
        <v>92980.0495</v>
      </c>
      <c r="D21" s="348">
        <f>ROUND(+C21*$E$9,5)</f>
        <v>345234.92379</v>
      </c>
    </row>
    <row r="22" spans="2:4" ht="12" customHeight="1">
      <c r="B22" s="67"/>
      <c r="C22" s="344"/>
      <c r="D22" s="347"/>
    </row>
    <row r="23" spans="2:4" ht="15.75">
      <c r="B23" s="382" t="s">
        <v>81</v>
      </c>
      <c r="C23" s="343">
        <f>+C25+C31</f>
        <v>604103.39364</v>
      </c>
      <c r="D23" s="349">
        <f>+D25+D31</f>
        <v>2243035.90058</v>
      </c>
    </row>
    <row r="24" spans="2:4" ht="9.75" customHeight="1">
      <c r="B24" s="382"/>
      <c r="C24" s="343"/>
      <c r="D24" s="349"/>
    </row>
    <row r="25" spans="2:4" ht="15.75">
      <c r="B25" s="381" t="s">
        <v>91</v>
      </c>
      <c r="C25" s="343">
        <f>+C27</f>
        <v>12402.36419</v>
      </c>
      <c r="D25" s="349">
        <f>+D27</f>
        <v>46049.97824</v>
      </c>
    </row>
    <row r="26" spans="2:4" ht="7.5" customHeight="1">
      <c r="B26" s="384"/>
      <c r="C26" s="343"/>
      <c r="D26" s="349"/>
    </row>
    <row r="27" spans="2:4" ht="15">
      <c r="B27" s="355" t="s">
        <v>51</v>
      </c>
      <c r="C27" s="344">
        <f>SUM(C28:C29)</f>
        <v>12402.36419</v>
      </c>
      <c r="D27" s="350">
        <f>SUM(D28:D29)</f>
        <v>46049.97824</v>
      </c>
    </row>
    <row r="28" spans="2:4" ht="15">
      <c r="B28" s="354" t="s">
        <v>145</v>
      </c>
      <c r="C28" s="348">
        <v>12402.36419</v>
      </c>
      <c r="D28" s="348">
        <f>ROUND(+C28*$E$9,5)</f>
        <v>46049.97824</v>
      </c>
    </row>
    <row r="29" spans="2:4" ht="15" hidden="1">
      <c r="B29" s="354" t="s">
        <v>146</v>
      </c>
      <c r="C29" s="348">
        <v>0</v>
      </c>
      <c r="D29" s="348">
        <f>ROUND(+C29*$E$9,5)</f>
        <v>0</v>
      </c>
    </row>
    <row r="30" spans="2:4" ht="7.5" customHeight="1">
      <c r="B30" s="383"/>
      <c r="C30" s="344"/>
      <c r="D30" s="347"/>
    </row>
    <row r="31" spans="2:5" ht="15.75">
      <c r="B31" s="381" t="s">
        <v>92</v>
      </c>
      <c r="C31" s="343">
        <f>+C33+C35+C42+C46</f>
        <v>591701.02945</v>
      </c>
      <c r="D31" s="349">
        <f>+D33+D35+D42+D46</f>
        <v>2196985.92234</v>
      </c>
      <c r="E31" s="449"/>
    </row>
    <row r="32" spans="2:4" ht="7.5" customHeight="1">
      <c r="B32" s="386"/>
      <c r="C32" s="346"/>
      <c r="D32" s="351"/>
    </row>
    <row r="33" spans="2:4" ht="15">
      <c r="B33" s="355" t="s">
        <v>438</v>
      </c>
      <c r="C33" s="344">
        <v>324535.41611</v>
      </c>
      <c r="D33" s="347">
        <f aca="true" t="shared" si="0" ref="D33:D40">ROUND(+C33*$E$9,5)</f>
        <v>1205000.00002</v>
      </c>
    </row>
    <row r="34" spans="2:4" ht="7.5" customHeight="1">
      <c r="B34" s="386"/>
      <c r="C34" s="346"/>
      <c r="D34" s="348"/>
    </row>
    <row r="35" spans="2:6" ht="15">
      <c r="B35" s="355" t="s">
        <v>144</v>
      </c>
      <c r="C35" s="344">
        <f>SUM(C36:C40)</f>
        <v>53610.61754</v>
      </c>
      <c r="D35" s="347">
        <f>SUM(D36:D40)</f>
        <v>199056.22292</v>
      </c>
      <c r="E35" s="449"/>
      <c r="F35" s="223"/>
    </row>
    <row r="36" spans="2:6" ht="15">
      <c r="B36" s="354" t="s">
        <v>254</v>
      </c>
      <c r="C36" s="348">
        <v>38115.39289</v>
      </c>
      <c r="D36" s="348">
        <f t="shared" si="0"/>
        <v>141522.4538</v>
      </c>
      <c r="F36" s="223"/>
    </row>
    <row r="37" spans="2:6" ht="15">
      <c r="B37" s="354" t="s">
        <v>215</v>
      </c>
      <c r="C37" s="348">
        <v>14924.87929</v>
      </c>
      <c r="D37" s="348">
        <f t="shared" si="0"/>
        <v>55416.0768</v>
      </c>
      <c r="F37" s="223"/>
    </row>
    <row r="38" spans="2:6" ht="15">
      <c r="B38" s="354" t="s">
        <v>153</v>
      </c>
      <c r="C38" s="348">
        <v>540.42436</v>
      </c>
      <c r="D38" s="348">
        <f t="shared" si="0"/>
        <v>2006.59565</v>
      </c>
      <c r="F38" s="223"/>
    </row>
    <row r="39" spans="2:6" ht="15" hidden="1">
      <c r="B39" s="354" t="s">
        <v>261</v>
      </c>
      <c r="C39" s="348">
        <v>0</v>
      </c>
      <c r="D39" s="348">
        <f t="shared" si="0"/>
        <v>0</v>
      </c>
      <c r="F39" s="223"/>
    </row>
    <row r="40" spans="1:7" ht="15">
      <c r="A40" s="74"/>
      <c r="B40" s="354" t="s">
        <v>203</v>
      </c>
      <c r="C40" s="348">
        <v>29.921</v>
      </c>
      <c r="D40" s="348">
        <f t="shared" si="0"/>
        <v>111.09667</v>
      </c>
      <c r="F40" s="223"/>
      <c r="G40" s="74"/>
    </row>
    <row r="41" spans="1:7" ht="7.5" customHeight="1">
      <c r="A41" s="74"/>
      <c r="B41" s="67"/>
      <c r="C41" s="347"/>
      <c r="D41" s="347"/>
      <c r="E41" s="74"/>
      <c r="F41" s="456"/>
      <c r="G41" s="74"/>
    </row>
    <row r="42" spans="1:7" ht="15">
      <c r="A42" s="74"/>
      <c r="B42" s="355" t="s">
        <v>147</v>
      </c>
      <c r="C42" s="347">
        <f>SUM(C43:C44)</f>
        <v>15737.12786</v>
      </c>
      <c r="D42" s="347">
        <f>SUM(D43:D44)</f>
        <v>58431.95574</v>
      </c>
      <c r="E42" s="74"/>
      <c r="F42" s="74"/>
      <c r="G42" s="74"/>
    </row>
    <row r="43" spans="1:7" ht="15">
      <c r="A43" s="74"/>
      <c r="B43" s="354" t="s">
        <v>148</v>
      </c>
      <c r="C43" s="475">
        <v>15737.12786</v>
      </c>
      <c r="D43" s="348">
        <f>ROUND(+C43*$E$9,5)</f>
        <v>58431.95574</v>
      </c>
      <c r="F43" s="74"/>
      <c r="G43" s="74"/>
    </row>
    <row r="44" spans="1:7" ht="15" hidden="1">
      <c r="A44" s="74"/>
      <c r="B44" s="354" t="s">
        <v>149</v>
      </c>
      <c r="C44" s="348">
        <v>0</v>
      </c>
      <c r="D44" s="348">
        <f>ROUND(+C44*$E$9,5)</f>
        <v>0</v>
      </c>
      <c r="E44" s="74"/>
      <c r="F44" s="74"/>
      <c r="G44" s="74"/>
    </row>
    <row r="45" spans="1:7" ht="7.5" customHeight="1">
      <c r="A45" s="74"/>
      <c r="B45" s="387"/>
      <c r="C45" s="348"/>
      <c r="D45" s="348"/>
      <c r="E45" s="74"/>
      <c r="F45" s="74"/>
      <c r="G45" s="74"/>
    </row>
    <row r="46" spans="2:4" ht="15">
      <c r="B46" s="355" t="s">
        <v>435</v>
      </c>
      <c r="C46" s="347">
        <f>SUM(C47:C48)</f>
        <v>197817.86794000003</v>
      </c>
      <c r="D46" s="347">
        <f>SUM(D47:D48)</f>
        <v>734497.7436599999</v>
      </c>
    </row>
    <row r="47" spans="2:4" ht="15">
      <c r="B47" s="354" t="s">
        <v>150</v>
      </c>
      <c r="C47" s="348">
        <v>154645.52363</v>
      </c>
      <c r="D47" s="348">
        <f>ROUND(+C47*$E$9,5)</f>
        <v>574198.82924</v>
      </c>
    </row>
    <row r="48" spans="2:4" ht="15">
      <c r="B48" s="354" t="s">
        <v>197</v>
      </c>
      <c r="C48" s="348">
        <v>43172.34431</v>
      </c>
      <c r="D48" s="348">
        <f>ROUND(+C48*$E$9,5)</f>
        <v>160298.91442</v>
      </c>
    </row>
    <row r="49" spans="2:4" ht="15" hidden="1">
      <c r="B49" s="70"/>
      <c r="C49" s="347"/>
      <c r="D49" s="347"/>
    </row>
    <row r="50" spans="2:4" ht="15" hidden="1">
      <c r="B50" s="67" t="s">
        <v>82</v>
      </c>
      <c r="C50" s="347">
        <f>+C52+C51</f>
        <v>0</v>
      </c>
      <c r="D50" s="347">
        <f>+D52+D51</f>
        <v>0</v>
      </c>
    </row>
    <row r="51" spans="2:4" ht="15" hidden="1">
      <c r="B51" s="70" t="s">
        <v>83</v>
      </c>
      <c r="C51" s="348">
        <v>0</v>
      </c>
      <c r="D51" s="348">
        <f>+C51*$E$9</f>
        <v>0</v>
      </c>
    </row>
    <row r="52" spans="2:4" ht="15" hidden="1">
      <c r="B52" s="70" t="s">
        <v>117</v>
      </c>
      <c r="C52" s="348"/>
      <c r="D52" s="348">
        <f>+C52*$E$9</f>
        <v>0</v>
      </c>
    </row>
    <row r="53" spans="2:4" ht="12" customHeight="1">
      <c r="B53" s="70"/>
      <c r="C53" s="348"/>
      <c r="D53" s="348"/>
    </row>
    <row r="54" spans="2:5" ht="15.75">
      <c r="B54" s="382" t="s">
        <v>229</v>
      </c>
      <c r="C54" s="343">
        <f>+C56</f>
        <v>11077.94332</v>
      </c>
      <c r="D54" s="349">
        <f>+D56</f>
        <v>41132.40355</v>
      </c>
      <c r="E54" s="449"/>
    </row>
    <row r="55" spans="2:4" ht="9.75" customHeight="1">
      <c r="B55" s="382"/>
      <c r="C55" s="343"/>
      <c r="D55" s="349"/>
    </row>
    <row r="56" spans="2:4" ht="15.75">
      <c r="B56" s="381" t="s">
        <v>92</v>
      </c>
      <c r="C56" s="343">
        <f>+C58</f>
        <v>11077.94332</v>
      </c>
      <c r="D56" s="349">
        <f>+D58</f>
        <v>41132.40355</v>
      </c>
    </row>
    <row r="57" spans="2:4" ht="7.5" customHeight="1">
      <c r="B57" s="384"/>
      <c r="C57" s="343"/>
      <c r="D57" s="349"/>
    </row>
    <row r="58" spans="2:4" ht="15">
      <c r="B58" s="355" t="s">
        <v>230</v>
      </c>
      <c r="C58" s="344">
        <f>SUM(C59:C59)</f>
        <v>11077.94332</v>
      </c>
      <c r="D58" s="350">
        <f>SUM(D59:D59)</f>
        <v>41132.40355</v>
      </c>
    </row>
    <row r="59" spans="2:4" ht="15">
      <c r="B59" s="354" t="s">
        <v>150</v>
      </c>
      <c r="C59" s="475">
        <v>11077.94332</v>
      </c>
      <c r="D59" s="348">
        <f>ROUND(+C59*$E$9,5)</f>
        <v>41132.40355</v>
      </c>
    </row>
    <row r="60" spans="2:4" ht="8.25" customHeight="1">
      <c r="B60" s="387"/>
      <c r="C60" s="348"/>
      <c r="D60" s="352"/>
    </row>
    <row r="61" spans="2:4" ht="15" customHeight="1">
      <c r="B61" s="559" t="s">
        <v>16</v>
      </c>
      <c r="C61" s="552">
        <f>+C23+C15+C54</f>
        <v>994552.63027</v>
      </c>
      <c r="D61" s="552">
        <f>+D23+D15+D54</f>
        <v>3692773.9161900003</v>
      </c>
    </row>
    <row r="62" spans="2:4" ht="15" customHeight="1">
      <c r="B62" s="560"/>
      <c r="C62" s="553"/>
      <c r="D62" s="553"/>
    </row>
    <row r="63" spans="2:4" ht="7.5" customHeight="1">
      <c r="B63" s="107"/>
      <c r="C63" s="89"/>
      <c r="D63" s="89"/>
    </row>
    <row r="64" spans="1:7" s="109" customFormat="1" ht="15" customHeight="1">
      <c r="A64" s="64"/>
      <c r="B64" s="108" t="s">
        <v>111</v>
      </c>
      <c r="C64" s="495"/>
      <c r="D64" s="90"/>
      <c r="E64" s="64"/>
      <c r="F64" s="64"/>
      <c r="G64" s="64"/>
    </row>
    <row r="65" spans="2:4" ht="6.75" customHeight="1">
      <c r="B65" s="110"/>
      <c r="C65" s="204"/>
      <c r="D65" s="204"/>
    </row>
    <row r="66" spans="2:4" ht="15" customHeight="1">
      <c r="B66" s="91" t="s">
        <v>151</v>
      </c>
      <c r="C66" s="186"/>
      <c r="D66" s="186"/>
    </row>
    <row r="67" spans="2:4" ht="15" customHeight="1">
      <c r="B67" s="91" t="s">
        <v>152</v>
      </c>
      <c r="C67" s="91"/>
      <c r="D67" s="91"/>
    </row>
    <row r="68" spans="2:4" ht="15" customHeight="1">
      <c r="B68" s="6" t="s">
        <v>437</v>
      </c>
      <c r="C68" s="91"/>
      <c r="D68" s="91"/>
    </row>
    <row r="69" spans="1:7" ht="15" customHeight="1">
      <c r="A69" s="74"/>
      <c r="B69" s="91" t="s">
        <v>436</v>
      </c>
      <c r="C69" s="170"/>
      <c r="D69" s="170"/>
      <c r="F69" s="74"/>
      <c r="G69" s="74"/>
    </row>
    <row r="70" spans="1:7" ht="15" customHeight="1">
      <c r="A70" s="74"/>
      <c r="C70" s="91"/>
      <c r="D70" s="91"/>
      <c r="F70" s="74"/>
      <c r="G70" s="74"/>
    </row>
    <row r="71" spans="1:7" ht="15">
      <c r="A71" s="74"/>
      <c r="B71" s="406"/>
      <c r="C71" s="406"/>
      <c r="D71" s="406"/>
      <c r="E71" s="406"/>
      <c r="F71" s="74"/>
      <c r="G71" s="74"/>
    </row>
    <row r="72" spans="1:7" ht="15">
      <c r="A72" s="74"/>
      <c r="B72" s="406"/>
      <c r="C72" s="407"/>
      <c r="D72" s="406"/>
      <c r="E72" s="406"/>
      <c r="F72" s="74"/>
      <c r="G72" s="74"/>
    </row>
    <row r="73" spans="1:7" ht="15">
      <c r="A73" s="74"/>
      <c r="B73" s="408"/>
      <c r="C73" s="409"/>
      <c r="D73" s="409"/>
      <c r="E73" s="406"/>
      <c r="F73" s="74"/>
      <c r="G73" s="74"/>
    </row>
    <row r="74" spans="1:7" ht="15">
      <c r="A74" s="74"/>
      <c r="B74" s="406"/>
      <c r="C74" s="409"/>
      <c r="D74" s="409"/>
      <c r="E74" s="406"/>
      <c r="F74" s="74"/>
      <c r="G74" s="74"/>
    </row>
    <row r="75" spans="1:7" ht="18">
      <c r="A75" s="74"/>
      <c r="B75" s="86" t="s">
        <v>105</v>
      </c>
      <c r="C75" s="86"/>
      <c r="D75" s="86"/>
      <c r="F75" s="74"/>
      <c r="G75" s="74"/>
    </row>
    <row r="76" spans="1:7" ht="18">
      <c r="A76" s="74"/>
      <c r="B76" s="138" t="s">
        <v>248</v>
      </c>
      <c r="C76" s="138"/>
      <c r="D76" s="138"/>
      <c r="F76" s="74"/>
      <c r="G76" s="74"/>
    </row>
    <row r="77" spans="1:7" ht="15" customHeight="1">
      <c r="A77" s="74"/>
      <c r="B77" s="136" t="s">
        <v>66</v>
      </c>
      <c r="C77" s="136"/>
      <c r="D77" s="136"/>
      <c r="F77" s="74"/>
      <c r="G77" s="74"/>
    </row>
    <row r="78" spans="1:7" ht="15.75" customHeight="1">
      <c r="A78" s="74"/>
      <c r="B78" s="136" t="s">
        <v>84</v>
      </c>
      <c r="C78" s="136"/>
      <c r="D78" s="136"/>
      <c r="F78" s="74"/>
      <c r="G78" s="74"/>
    </row>
    <row r="79" spans="1:7" ht="15.75" customHeight="1">
      <c r="A79" s="74"/>
      <c r="B79" s="329" t="str">
        <f>+B9</f>
        <v>Al 31 de diciembre de 2023</v>
      </c>
      <c r="C79" s="329"/>
      <c r="D79" s="269"/>
      <c r="F79" s="74"/>
      <c r="G79" s="74"/>
    </row>
    <row r="80" spans="1:7" ht="7.5" customHeight="1">
      <c r="A80" s="74"/>
      <c r="B80" s="87"/>
      <c r="C80" s="87"/>
      <c r="D80" s="87"/>
      <c r="F80" s="74"/>
      <c r="G80" s="74"/>
    </row>
    <row r="81" spans="2:5" s="74" customFormat="1" ht="15" customHeight="1">
      <c r="B81" s="538" t="s">
        <v>101</v>
      </c>
      <c r="C81" s="534" t="s">
        <v>53</v>
      </c>
      <c r="D81" s="529" t="s">
        <v>131</v>
      </c>
      <c r="E81" s="63"/>
    </row>
    <row r="82" spans="2:5" s="74" customFormat="1" ht="13.5" customHeight="1">
      <c r="B82" s="539"/>
      <c r="C82" s="535"/>
      <c r="D82" s="530"/>
      <c r="E82" s="63"/>
    </row>
    <row r="83" spans="2:5" s="74" customFormat="1" ht="9" customHeight="1">
      <c r="B83" s="540"/>
      <c r="C83" s="536"/>
      <c r="D83" s="531"/>
      <c r="E83" s="63"/>
    </row>
    <row r="84" spans="2:4" s="74" customFormat="1" ht="11.25" customHeight="1" hidden="1">
      <c r="B84" s="88"/>
      <c r="C84" s="88"/>
      <c r="D84" s="106"/>
    </row>
    <row r="85" spans="2:4" s="74" customFormat="1" ht="18" customHeight="1" hidden="1">
      <c r="B85" s="73" t="s">
        <v>69</v>
      </c>
      <c r="C85" s="65">
        <f>+C86</f>
        <v>0</v>
      </c>
      <c r="D85" s="66">
        <f>+D86</f>
        <v>0</v>
      </c>
    </row>
    <row r="86" spans="2:4" s="74" customFormat="1" ht="15.75" customHeight="1" hidden="1">
      <c r="B86" s="67" t="s">
        <v>70</v>
      </c>
      <c r="C86" s="68">
        <f>+C87</f>
        <v>0</v>
      </c>
      <c r="D86" s="69">
        <f>+D87</f>
        <v>0</v>
      </c>
    </row>
    <row r="87" spans="2:4" s="74" customFormat="1" ht="16.5" customHeight="1" hidden="1">
      <c r="B87" s="70" t="s">
        <v>58</v>
      </c>
      <c r="C87" s="71">
        <v>0</v>
      </c>
      <c r="D87" s="72">
        <f>+C87/$E$9</f>
        <v>0</v>
      </c>
    </row>
    <row r="88" spans="2:4" s="74" customFormat="1" ht="9.75" customHeight="1">
      <c r="B88" s="111"/>
      <c r="C88" s="68"/>
      <c r="D88" s="69"/>
    </row>
    <row r="89" spans="2:4" s="74" customFormat="1" ht="18" customHeight="1">
      <c r="B89" s="382" t="s">
        <v>80</v>
      </c>
      <c r="C89" s="343">
        <f>+C91</f>
        <v>0</v>
      </c>
      <c r="D89" s="349">
        <f>+D91</f>
        <v>0</v>
      </c>
    </row>
    <row r="90" spans="2:4" s="74" customFormat="1" ht="9.75" customHeight="1">
      <c r="B90" s="382"/>
      <c r="C90" s="343"/>
      <c r="D90" s="349"/>
    </row>
    <row r="91" spans="2:4" s="74" customFormat="1" ht="18" customHeight="1">
      <c r="B91" s="388" t="s">
        <v>92</v>
      </c>
      <c r="C91" s="343">
        <v>0</v>
      </c>
      <c r="D91" s="349">
        <v>0</v>
      </c>
    </row>
    <row r="92" spans="2:4" s="74" customFormat="1" ht="12" customHeight="1">
      <c r="B92" s="383"/>
      <c r="C92" s="343"/>
      <c r="D92" s="349"/>
    </row>
    <row r="93" spans="2:4" s="74" customFormat="1" ht="18" customHeight="1">
      <c r="B93" s="382" t="s">
        <v>81</v>
      </c>
      <c r="C93" s="343">
        <f>+C95</f>
        <v>31957.026120000002</v>
      </c>
      <c r="D93" s="349">
        <f>+D95</f>
        <v>118656.43797999999</v>
      </c>
    </row>
    <row r="94" spans="2:4" s="74" customFormat="1" ht="9.75" customHeight="1">
      <c r="B94" s="382"/>
      <c r="C94" s="343"/>
      <c r="D94" s="349"/>
    </row>
    <row r="95" spans="2:4" s="74" customFormat="1" ht="18" customHeight="1">
      <c r="B95" s="388" t="s">
        <v>92</v>
      </c>
      <c r="C95" s="343">
        <f>+C97+C102+C105</f>
        <v>31957.026120000002</v>
      </c>
      <c r="D95" s="349">
        <f>+D97+D102+D105</f>
        <v>118656.43797999999</v>
      </c>
    </row>
    <row r="96" spans="2:4" s="74" customFormat="1" ht="7.5" customHeight="1">
      <c r="B96" s="383"/>
      <c r="C96" s="343"/>
      <c r="D96" s="349"/>
    </row>
    <row r="97" spans="2:4" s="74" customFormat="1" ht="15.75" customHeight="1">
      <c r="B97" s="355" t="s">
        <v>144</v>
      </c>
      <c r="C97" s="344">
        <f>SUM(C98:C100)</f>
        <v>150.53089</v>
      </c>
      <c r="D97" s="347">
        <f>SUM(D98:D100)</f>
        <v>558.92119</v>
      </c>
    </row>
    <row r="98" spans="2:5" s="74" customFormat="1" ht="15.75" customHeight="1">
      <c r="B98" s="354" t="s">
        <v>153</v>
      </c>
      <c r="C98" s="348">
        <v>149.6157</v>
      </c>
      <c r="D98" s="348">
        <f>ROUND(+C98*$E$9,5)</f>
        <v>555.52309</v>
      </c>
      <c r="E98" s="63"/>
    </row>
    <row r="99" spans="2:5" s="74" customFormat="1" ht="15.75" customHeight="1">
      <c r="B99" s="354" t="s">
        <v>256</v>
      </c>
      <c r="C99" s="348">
        <v>0.91519</v>
      </c>
      <c r="D99" s="348">
        <f>ROUND(+C99*$E$9,5)</f>
        <v>3.3981</v>
      </c>
      <c r="E99" s="63"/>
    </row>
    <row r="100" spans="2:5" s="74" customFormat="1" ht="15.75" customHeight="1" hidden="1">
      <c r="B100" s="354" t="s">
        <v>260</v>
      </c>
      <c r="C100" s="345">
        <v>0</v>
      </c>
      <c r="D100" s="348">
        <f>ROUND(+C100*$E$9,5)</f>
        <v>0</v>
      </c>
      <c r="E100" s="63"/>
    </row>
    <row r="101" spans="2:4" s="74" customFormat="1" ht="7.5" customHeight="1">
      <c r="B101" s="387"/>
      <c r="C101" s="345"/>
      <c r="D101" s="348"/>
    </row>
    <row r="102" spans="2:4" s="74" customFormat="1" ht="15" customHeight="1">
      <c r="B102" s="355" t="s">
        <v>147</v>
      </c>
      <c r="C102" s="344">
        <f>SUM(C103:C103)</f>
        <v>31806.49523</v>
      </c>
      <c r="D102" s="347">
        <f>SUM(D103:D103)</f>
        <v>118097.51679</v>
      </c>
    </row>
    <row r="103" spans="2:5" s="74" customFormat="1" ht="15.75" customHeight="1">
      <c r="B103" s="354" t="s">
        <v>148</v>
      </c>
      <c r="C103" s="348">
        <v>31806.49523</v>
      </c>
      <c r="D103" s="348">
        <f>ROUND(+C103*$E$9,5)</f>
        <v>118097.51679</v>
      </c>
      <c r="E103" s="63"/>
    </row>
    <row r="104" spans="2:4" s="74" customFormat="1" ht="7.5" customHeight="1">
      <c r="B104" s="387"/>
      <c r="C104" s="345"/>
      <c r="D104" s="347"/>
    </row>
    <row r="105" spans="2:4" s="74" customFormat="1" ht="15.75" customHeight="1">
      <c r="B105" s="355" t="s">
        <v>154</v>
      </c>
      <c r="C105" s="344">
        <v>0</v>
      </c>
      <c r="D105" s="347">
        <v>0</v>
      </c>
    </row>
    <row r="106" spans="2:4" s="74" customFormat="1" ht="15.75" customHeight="1" hidden="1">
      <c r="B106" s="70" t="s">
        <v>124</v>
      </c>
      <c r="C106" s="345">
        <v>0</v>
      </c>
      <c r="D106" s="348">
        <f>+C106*$E$9</f>
        <v>0</v>
      </c>
    </row>
    <row r="107" spans="2:4" s="74" customFormat="1" ht="12" customHeight="1">
      <c r="B107" s="70"/>
      <c r="C107" s="345"/>
      <c r="D107" s="348"/>
    </row>
    <row r="108" spans="2:4" s="74" customFormat="1" ht="15.75" customHeight="1">
      <c r="B108" s="382" t="s">
        <v>229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70"/>
      <c r="C109" s="345"/>
      <c r="D109" s="348"/>
    </row>
    <row r="110" spans="2:4" s="74" customFormat="1" ht="15.75" customHeight="1">
      <c r="B110" s="381" t="s">
        <v>92</v>
      </c>
      <c r="C110" s="343">
        <f>+C112</f>
        <v>0</v>
      </c>
      <c r="D110" s="349">
        <f>+D112</f>
        <v>0</v>
      </c>
    </row>
    <row r="111" spans="2:4" s="74" customFormat="1" ht="9.75" customHeight="1" hidden="1">
      <c r="B111" s="384"/>
      <c r="C111" s="343"/>
      <c r="D111" s="349"/>
    </row>
    <row r="112" spans="2:4" s="74" customFormat="1" ht="15.75" customHeight="1" hidden="1">
      <c r="B112" s="385" t="s">
        <v>230</v>
      </c>
      <c r="C112" s="344">
        <v>0</v>
      </c>
      <c r="D112" s="350">
        <v>0</v>
      </c>
    </row>
    <row r="113" spans="2:4" s="74" customFormat="1" ht="9.75" customHeight="1">
      <c r="B113" s="70"/>
      <c r="C113" s="345"/>
      <c r="D113" s="347"/>
    </row>
    <row r="114" spans="2:4" s="74" customFormat="1" ht="15" customHeight="1">
      <c r="B114" s="561" t="s">
        <v>16</v>
      </c>
      <c r="C114" s="552">
        <f>+C93+C89+C108</f>
        <v>31957.026120000002</v>
      </c>
      <c r="D114" s="552">
        <f>+D93+D89+D108</f>
        <v>118656.43797999999</v>
      </c>
    </row>
    <row r="115" spans="2:4" s="74" customFormat="1" ht="15" customHeight="1">
      <c r="B115" s="562"/>
      <c r="C115" s="553"/>
      <c r="D115" s="553"/>
    </row>
    <row r="116" spans="2:4" s="74" customFormat="1" ht="7.5" customHeight="1">
      <c r="B116" s="107"/>
      <c r="C116" s="89"/>
      <c r="D116" s="89"/>
    </row>
    <row r="117" spans="2:4" s="74" customFormat="1" ht="17.25" customHeight="1">
      <c r="B117" s="108" t="s">
        <v>111</v>
      </c>
      <c r="C117" s="476"/>
      <c r="D117" s="187"/>
    </row>
    <row r="118" spans="2:4" s="74" customFormat="1" ht="6.75" customHeight="1">
      <c r="B118" s="108"/>
      <c r="C118" s="89"/>
      <c r="D118" s="89"/>
    </row>
    <row r="119" spans="2:4" s="74" customFormat="1" ht="15">
      <c r="B119" s="508"/>
      <c r="C119" s="508"/>
      <c r="D119" s="508"/>
    </row>
    <row r="120" spans="2:4" s="74" customFormat="1" ht="15">
      <c r="B120" s="508"/>
      <c r="C120" s="508"/>
      <c r="D120" s="508"/>
    </row>
    <row r="121" spans="2:4" s="74" customFormat="1" ht="15">
      <c r="B121" s="406"/>
      <c r="C121" s="410"/>
      <c r="D121" s="410"/>
    </row>
    <row r="122" spans="2:4" s="74" customFormat="1" ht="15">
      <c r="B122" s="406"/>
      <c r="C122" s="399"/>
      <c r="D122" s="399"/>
    </row>
    <row r="123" spans="2:4" s="74" customFormat="1" ht="15">
      <c r="B123" s="406"/>
      <c r="C123" s="396"/>
      <c r="D123" s="396"/>
    </row>
    <row r="124" spans="2:4" s="74" customFormat="1" ht="15">
      <c r="B124" s="406"/>
      <c r="C124" s="406"/>
      <c r="D124" s="406"/>
    </row>
    <row r="125" spans="2:4" s="74" customFormat="1" ht="15">
      <c r="B125" s="406"/>
      <c r="C125" s="398"/>
      <c r="D125" s="398"/>
    </row>
    <row r="126" spans="2:4" s="74" customFormat="1" ht="15">
      <c r="B126" s="406"/>
      <c r="C126" s="406"/>
      <c r="D126" s="406"/>
    </row>
    <row r="127" spans="2:4" s="74" customFormat="1" ht="15">
      <c r="B127" s="406"/>
      <c r="C127" s="406"/>
      <c r="D127" s="406"/>
    </row>
    <row r="128" spans="2:4" s="74" customFormat="1" ht="15">
      <c r="B128" s="406"/>
      <c r="C128" s="406"/>
      <c r="D128" s="406"/>
    </row>
    <row r="129" spans="1:7" ht="15">
      <c r="A129" s="74"/>
      <c r="B129" s="406"/>
      <c r="C129" s="406"/>
      <c r="D129" s="406"/>
      <c r="E129" s="74"/>
      <c r="F129" s="74"/>
      <c r="G129" s="74"/>
    </row>
    <row r="130" spans="1:7" ht="15">
      <c r="A130" s="74"/>
      <c r="B130" s="406"/>
      <c r="C130" s="406"/>
      <c r="D130" s="406"/>
      <c r="E130" s="74"/>
      <c r="F130" s="74"/>
      <c r="G130" s="74"/>
    </row>
    <row r="131" spans="1:7" ht="15">
      <c r="A131" s="74"/>
      <c r="B131" s="406"/>
      <c r="C131" s="406"/>
      <c r="D131" s="406"/>
      <c r="E131" s="74"/>
      <c r="F131" s="74"/>
      <c r="G131" s="74"/>
    </row>
    <row r="132" spans="1:7" ht="15">
      <c r="A132" s="74"/>
      <c r="B132" s="406"/>
      <c r="C132" s="406"/>
      <c r="D132" s="406"/>
      <c r="E132" s="74"/>
      <c r="F132" s="74"/>
      <c r="G132" s="74"/>
    </row>
    <row r="133" spans="1:7" ht="15">
      <c r="A133" s="74"/>
      <c r="B133" s="406"/>
      <c r="C133" s="406"/>
      <c r="D133" s="406"/>
      <c r="E133" s="74"/>
      <c r="F133" s="74"/>
      <c r="G133" s="74"/>
    </row>
    <row r="134" spans="1:7" ht="15">
      <c r="A134" s="74"/>
      <c r="B134" s="406"/>
      <c r="C134" s="406"/>
      <c r="D134" s="406"/>
      <c r="E134" s="74"/>
      <c r="F134" s="74"/>
      <c r="G134" s="74"/>
    </row>
    <row r="135" spans="1:7" ht="15">
      <c r="A135" s="74"/>
      <c r="B135" s="406"/>
      <c r="C135" s="406"/>
      <c r="D135" s="406"/>
      <c r="E135" s="74"/>
      <c r="F135" s="74"/>
      <c r="G135" s="74"/>
    </row>
    <row r="454" s="74" customFormat="1" ht="15">
      <c r="D454" s="112"/>
    </row>
  </sheetData>
  <sheetProtection/>
  <mergeCells count="14">
    <mergeCell ref="B119:D119"/>
    <mergeCell ref="B120:D120"/>
    <mergeCell ref="B11:B13"/>
    <mergeCell ref="C11:C13"/>
    <mergeCell ref="D11:D13"/>
    <mergeCell ref="B114:B115"/>
    <mergeCell ref="B81:B83"/>
    <mergeCell ref="C81:C83"/>
    <mergeCell ref="D81:D83"/>
    <mergeCell ref="C114:C115"/>
    <mergeCell ref="D114:D115"/>
    <mergeCell ref="B61:B62"/>
    <mergeCell ref="C61:C62"/>
    <mergeCell ref="D61:D62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2024-04-16T14:09:34Z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