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'DEP-C6'!$B$1:$E$77</definedName>
    <definedName name="_xlnm.Print_Area" localSheetId="10">'DEP-C7'!$B$1:$E$90</definedName>
    <definedName name="_xlnm.Print_Area" localSheetId="11">'DEP-C8'!$B$1:$D$126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<sst xmlns="http://schemas.openxmlformats.org/spreadsheetml/2006/main" count="637" uniqueCount="262">
  <si>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</si>
  <si>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</si>
  <si>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</si>
  <si>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</si>
  <si>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</si>
  <si>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</si>
  <si>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</si>
  <si>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</si>
  <si>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</si>
  <si>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</si>
  <si>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</si>
  <si>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</si>
  <si>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</si>
  <si>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</si>
  <si>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</si>
  <si>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</si>
  <si>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</si>
  <si>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</si>
  <si>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</si>
  <si>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</si>
  <si>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</si>
  <si>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</si>
  <si>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</si>
  <si>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</si>
  <si>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</si>
  <si>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</si>
  <si>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</si>
  <si>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</si>
  <si>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</si>
  <si>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</si>
  <si>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</si>
  <si>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</si>
  <si>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</si>
  <si>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</si>
  <si>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</si>
  <si>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</si>
  <si>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</si>
  <si>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</si>
  <si>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</si>
  <si>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</si>
  <si>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</si>
  <si>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</si>
  <si>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</si>
  <si>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</si>
  <si>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</si>
  <si>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</si>
  <si>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</si>
  <si>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</si>
  <si>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</si>
  <si>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</si>
  <si>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</si>
  <si>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</si>
  <si>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</si>
  <si>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</si>
  <si>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</si>
  <si>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</si>
  <si>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</si>
  <si>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</si>
  <si>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</si>
  <si>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</si>
  <si>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</si>
  <si>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</si>
  <si>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</si>
  <si>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</si>
  <si>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</si>
  <si>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</si>
  <si>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</si>
  <si>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</si>
  <si>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</si>
  <si>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</si>
  <si>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</si>
  <si>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</si>
  <si>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</si>
  <si>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</si>
  <si>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</si>
  <si>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</si>
  <si>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</si>
  <si>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</si>
  <si>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</si>
  <si>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</si>
  <si>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</si>
  <si>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</si>
  <si>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</si>
  <si>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</si>
  <si>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</si>
  <si>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</si>
  <si>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</si>
  <si>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</si>
  <si>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</si>
  <si>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</si>
  <si>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</si>
  <si>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</si>
  <si>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</si>
  <si>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</si>
  <si>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</si>
  <si>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</si>
  <si>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</si>
  <si>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</si>
  <si>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</si>
  <si>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</si>
  <si>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</si>
  <si>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</si>
  <si>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</si>
  <si>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</si>
  <si>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</si>
  <si>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</si>
  <si>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</si>
  <si>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</si>
  <si>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</si>
  <si>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</si>
  <si>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</si>
  <si>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</si>
  <si>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</si>
  <si>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</si>
  <si>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</si>
  <si>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</si>
  <si>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</si>
  <si>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</si>
  <si>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</si>
  <si>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</si>
  <si>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</si>
  <si>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</si>
  <si>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</si>
  <si>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</si>
  <si>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</si>
  <si>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</si>
  <si>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</si>
  <si>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</si>
  <si>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</si>
  <si>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</si>
  <si>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</si>
  <si>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</si>
  <si>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</si>
  <si>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</si>
  <si>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</si>
  <si>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</si>
  <si>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</si>
  <si>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</si>
  <si>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</si>
  <si>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</si>
  <si>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</si>
  <si>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</si>
  <si>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</si>
  <si>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</si>
  <si>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</si>
  <si>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</si>
  <si>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</si>
  <si>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</si>
  <si>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</si>
  <si>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</si>
  <si>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</si>
  <si>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</si>
  <si>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</si>
  <si>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</si>
  <si>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</si>
  <si>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</si>
  <si>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</si>
  <si>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</si>
  <si>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</si>
  <si>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</si>
  <si>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</si>
  <si>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</si>
  <si>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</si>
  <si>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</si>
  <si>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</si>
  <si>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</si>
  <si>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</si>
  <si>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</si>
  <si>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</si>
  <si>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</si>
  <si>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</si>
  <si>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</si>
  <si>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</si>
  <si>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</si>
  <si>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</si>
  <si>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</si>
  <si>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</si>
  <si>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</si>
  <si>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</si>
  <si>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</si>
  <si>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</si>
  <si>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</si>
  <si>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</si>
  <si>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</si>
  <si>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</si>
  <si>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</si>
  <si>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</si>
  <si>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</si>
  <si>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</si>
  <si>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</si>
  <si>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</si>
  <si>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</si>
  <si>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</si>
  <si>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</si>
  <si>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</si>
  <si>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</si>
  <si>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</si>
  <si>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</si>
  <si>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</si>
  <si>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</si>
  <si>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</si>
  <si>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</si>
  <si>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</si>
  <si>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</si>
  <si>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</si>
  <si>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</si>
  <si>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</si>
  <si>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</si>
  <si>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</si>
  <si>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</si>
  <si>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</si>
  <si>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</si>
  <si>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</si>
  <si>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</si>
  <si>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</si>
  <si>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</si>
  <si>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</si>
  <si>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</si>
  <si>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</si>
  <si>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</si>
  <si>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</si>
  <si>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</si>
  <si>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</si>
  <si>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</si>
  <si>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</si>
  <si>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</si>
  <si>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</si>
  <si>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</si>
  <si>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</si>
  <si>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</si>
  <si>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</si>
  <si>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</si>
  <si>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</si>
  <si>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</si>
  <si>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</si>
  <si>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</si>
  <si>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</si>
  <si>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</si>
  <si>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</si>
  <si>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</si>
  <si>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</si>
  <si>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</si>
  <si>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</si>
  <si>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</si>
  <si>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</si>
  <si>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</si>
  <si>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</si>
  <si>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</si>
  <si>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</si>
  <si>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</si>
  <si>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</si>
  <si>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</si>
  <si>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</si>
  <si>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Banco Interamericano de Finanzas</t>
  </si>
  <si>
    <t>Servicios Postales del Perú</t>
  </si>
  <si>
    <t>JPMORGAN CHASE BANK</t>
  </si>
  <si>
    <t>Fondo Nacional de Financiamiento de la Actividad Empresarial del Estado</t>
  </si>
  <si>
    <t>AL 31 DE ENERO 2023</t>
  </si>
  <si>
    <t>Al 31 de enero de 2023</t>
  </si>
  <si>
    <t xml:space="preserve"> 3/  Incluye: Bonos COFIDE por US$ 1 166,5 millones y Bonos Fondo MIVIVIENDA por US$ 989,5 millones.</t>
  </si>
  <si>
    <t xml:space="preserve"> 4/  Incluye: Bonos COFIDE por US$ 312,2 millones y Bonos Fondo MIVIVIENDA por US$ 207,8 millones.</t>
  </si>
  <si>
    <t>Período: De 2009 al 31 de enero 2023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</si>
</sst>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2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1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8" fillId="0" borderId="19" xfId="323" applyFont="1" applyBorder="1" applyAlignment="1">
      <alignment horizontal="left" vertical="center" indent="3"/>
      <protection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60" xfId="331" applyFont="1" applyFill="1" applyBorder="1" applyAlignment="1">
      <alignment horizontal="center" vertical="center"/>
      <protection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3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4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2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9" xfId="0" applyFont="1" applyFill="1" applyBorder="1" applyAlignment="1">
      <alignment horizontal="center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0" fontId="6" fillId="47" borderId="65" xfId="323" applyFont="1" applyFill="1" applyBorder="1" applyAlignment="1">
      <alignment vertical="center"/>
      <protection/>
    </xf>
    <xf numFmtId="0" fontId="6" fillId="47" borderId="66" xfId="323" applyFont="1" applyFill="1" applyBorder="1" applyAlignment="1">
      <alignment vertical="center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7369.57041976</c:v>
                </c:pt>
                <c:pt idx="1">
                  <c:v>1980.47300011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3860.59116722</c:v>
                </c:pt>
                <c:pt idx="1">
                  <c:v>5489.45225265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8516.22842639</c:v>
                </c:pt>
                <c:pt idx="1">
                  <c:v>833.81499348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3673.9748825999995</c:v>
                </c:pt>
                <c:pt idx="1">
                  <c:v>5676.06853727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5676.06853727</c:v>
                </c:pt>
                <c:pt idx="1">
                  <c:v>2196.25577264</c:v>
                </c:pt>
                <c:pt idx="2">
                  <c:v>467.9926435</c:v>
                </c:pt>
                <c:pt idx="3">
                  <c:v>492.73837563999996</c:v>
                </c:pt>
                <c:pt idx="4">
                  <c:v>516.98809082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6963.85740045</c:v>
                </c:pt>
                <c:pt idx="1">
                  <c:v>1970.5357371399998</c:v>
                </c:pt>
                <c:pt idx="2">
                  <c:v>153.40648595</c:v>
                </c:pt>
                <c:pt idx="3">
                  <c:v>262.24379633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6054182"/>
        <c:axId val="54487639"/>
      </c:barChart>
      <c:catAx>
        <c:axId val="605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639"/>
        <c:crosses val="autoZero"/>
        <c:auto val="1"/>
        <c:lblOffset val="100"/>
        <c:tickLblSkip val="1"/>
        <c:noMultiLvlLbl val="0"/>
      </c:catAx>
      <c:valAx>
        <c:axId val="5448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31012023.xls#Indice!B6" /><Relationship Id="rId9" Type="http://schemas.openxmlformats.org/officeDocument/2006/relationships/hyperlink" Target="#Reporte_Deuda_Empresas_SG_3101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1012023.xls#Indice!B6" /><Relationship Id="rId4" Type="http://schemas.openxmlformats.org/officeDocument/2006/relationships/hyperlink" Target="#Reporte_Deuda_Empresas_SG_3101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31012023.xls#Indice!B6" /><Relationship Id="rId3" Type="http://schemas.openxmlformats.org/officeDocument/2006/relationships/hyperlink" Target="#Reporte_Deuda_Empresas_SG_3101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7" t="str">
        <f>+Portada!$B$6</f>
        <v>DEUDA DE LAS EMPRESAS PÚBLICAS</v>
      </c>
      <c r="C6" s="547"/>
      <c r="D6" s="547"/>
      <c r="E6" s="547"/>
      <c r="F6" s="547"/>
      <c r="G6" s="547"/>
    </row>
    <row r="7" spans="2:7" s="4" customFormat="1" ht="24.75" customHeight="1">
      <c r="B7" s="548" t="s">
        <v>257</v>
      </c>
      <c r="C7" s="548"/>
      <c r="D7" s="548"/>
      <c r="E7" s="548"/>
      <c r="F7" s="548"/>
      <c r="G7" s="548"/>
    </row>
    <row r="8" spans="2:5" s="4" customFormat="1" ht="15.75" customHeight="1">
      <c r="B8" s="248"/>
      <c r="C8" s="248"/>
      <c r="D8" s="500"/>
      <c r="E8" s="130"/>
    </row>
    <row r="9" spans="2:5" ht="19.5" customHeight="1">
      <c r="B9" s="86"/>
      <c r="C9" s="86"/>
      <c r="D9" s="405" t="s">
        <v>66</v>
      </c>
      <c r="E9" s="86"/>
    </row>
    <row r="10" spans="2:5" s="7" customFormat="1" ht="19.5" customHeight="1">
      <c r="B10" s="183"/>
      <c r="C10" s="183"/>
      <c r="D10" s="405" t="s">
        <v>172</v>
      </c>
      <c r="E10" s="71"/>
    </row>
    <row r="11" spans="2:5" s="7" customFormat="1" ht="19.5" customHeight="1">
      <c r="B11" s="184"/>
      <c r="C11" s="183"/>
      <c r="D11" s="405" t="s">
        <v>173</v>
      </c>
      <c r="E11" s="71"/>
    </row>
    <row r="12" spans="2:5" s="7" customFormat="1" ht="9.75" customHeight="1">
      <c r="B12" s="184"/>
      <c r="C12" s="183"/>
      <c r="D12" s="316"/>
      <c r="E12" s="71"/>
    </row>
    <row r="13" spans="2:8" s="7" customFormat="1" ht="19.5" customHeight="1">
      <c r="B13" s="183" t="s">
        <v>11</v>
      </c>
      <c r="C13" s="183" t="s">
        <v>8</v>
      </c>
      <c r="D13" s="546" t="s">
        <v>212</v>
      </c>
      <c r="E13" s="546"/>
      <c r="F13" s="546"/>
      <c r="G13" s="546"/>
      <c r="H13" s="546"/>
    </row>
    <row r="14" spans="2:6" s="7" customFormat="1" ht="19.5" customHeight="1">
      <c r="B14" s="183" t="s">
        <v>12</v>
      </c>
      <c r="C14" s="183" t="s">
        <v>8</v>
      </c>
      <c r="D14" s="546" t="s">
        <v>152</v>
      </c>
      <c r="E14" s="546"/>
      <c r="F14" s="546"/>
    </row>
    <row r="15" spans="2:6" s="7" customFormat="1" ht="19.5" customHeight="1">
      <c r="B15" s="183" t="s">
        <v>13</v>
      </c>
      <c r="C15" s="183" t="s">
        <v>8</v>
      </c>
      <c r="D15" s="549" t="s">
        <v>37</v>
      </c>
      <c r="E15" s="549"/>
      <c r="F15" s="549"/>
    </row>
    <row r="16" spans="2:6" s="7" customFormat="1" ht="19.5" customHeight="1">
      <c r="B16" s="183" t="s">
        <v>14</v>
      </c>
      <c r="C16" s="183" t="s">
        <v>8</v>
      </c>
      <c r="D16" s="549" t="s">
        <v>32</v>
      </c>
      <c r="E16" s="549"/>
      <c r="F16" s="549"/>
    </row>
    <row r="17" spans="2:6" s="7" customFormat="1" ht="19.5" customHeight="1">
      <c r="B17" s="183" t="s">
        <v>90</v>
      </c>
      <c r="C17" s="183" t="s">
        <v>8</v>
      </c>
      <c r="D17" s="549" t="s">
        <v>1</v>
      </c>
      <c r="E17" s="549"/>
      <c r="F17" s="549"/>
    </row>
    <row r="18" spans="2:6" s="7" customFormat="1" ht="19.5" customHeight="1">
      <c r="B18" s="183" t="s">
        <v>59</v>
      </c>
      <c r="C18" s="183" t="s">
        <v>8</v>
      </c>
      <c r="D18" s="549" t="s">
        <v>57</v>
      </c>
      <c r="E18" s="549"/>
      <c r="F18" s="549"/>
    </row>
    <row r="19" spans="2:6" s="7" customFormat="1" ht="19.5" customHeight="1">
      <c r="B19" s="183" t="s">
        <v>15</v>
      </c>
      <c r="C19" s="183" t="s">
        <v>8</v>
      </c>
      <c r="D19" s="549" t="s">
        <v>104</v>
      </c>
      <c r="E19" s="549"/>
      <c r="F19" s="549"/>
    </row>
    <row r="20" spans="2:6" s="7" customFormat="1" ht="19.5" customHeight="1">
      <c r="B20" s="183" t="s">
        <v>16</v>
      </c>
      <c r="C20" s="183" t="s">
        <v>8</v>
      </c>
      <c r="D20" s="549" t="s">
        <v>58</v>
      </c>
      <c r="E20" s="549"/>
      <c r="F20" s="549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12023.xls#Resumen!B5" display="CUADROS RESUMEN"/>
    <hyperlink ref="D11" location="Reporte_Deuda_Empresas_SG_3101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12023.xls#Portada!B6" display="PORTADA"/>
    <hyperlink ref="D19" location="'Grupo Acreedor'!A1" display="POR GRUPO DEL ACREEDOR"/>
    <hyperlink ref="D14:F14" location="Reporte_Deuda_Empresas_SG_31122022.xls#'DEP-C2'!B5" display="POR TIPO DE DEUDA Y TIPO DE EMPRESA"/>
    <hyperlink ref="D16:F16" location="'DEP-C4'!B5" display="POR TIPO DE EMPRESA Y ACREEDOR"/>
    <hyperlink ref="D15:F15" location="Reporte_Deuda_Empresas_SG_31012023.xls#'DEP-C3'!B5" display="POR TIPO DE MONEDA"/>
    <hyperlink ref="D17:F17" location="Reporte_Deuda_Empresas_SG_31012023.xls#'DEP-C5'!B5" display="POR GRUPO EMPRESARIAL DEL DEUDOR"/>
    <hyperlink ref="D18:F18" location="Reporte_Deuda_Empresas_SG_31012023.xls#'DEP-C6'!B5" display="POR GRUPO EMPRESARIAL Y ENTIDAD DEUDORA"/>
    <hyperlink ref="D19:F19" location="Reporte_Deuda_Empresas_SG_31012023.xls#'DEP-C7'!B5" display="POR TIPO DE EMPRESA Y GRUPO DEL ACREEDOR "/>
    <hyperlink ref="D13:F13" r:id="rId1" display="EVOLUCIÓN DE LA DEUDA DE LAS EMPRESAS PÚBLICAS"/>
    <hyperlink ref="D13:H13" location="Reporte_Deuda_Empresas_SG_31012023.xls#'DEP-C1'!B5" display="EVOLUCIÓN DE LA DEUDA DE LAS EMPRESAS PÚBLICAS - POR TIPO DE DEUDA"/>
    <hyperlink ref="D20:F20" location="Reporte_Deuda_Empresas_SG_3101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8" t="s">
        <v>135</v>
      </c>
      <c r="C6" s="318"/>
      <c r="D6" s="318"/>
      <c r="E6" s="318"/>
      <c r="F6" s="88"/>
    </row>
    <row r="7" spans="2:6" s="89" customFormat="1" ht="18.75">
      <c r="B7" s="318" t="s">
        <v>134</v>
      </c>
      <c r="C7" s="318"/>
      <c r="D7" s="318"/>
      <c r="E7" s="263"/>
      <c r="F7" s="88"/>
    </row>
    <row r="8" spans="2:6" s="89" customFormat="1" ht="18.75">
      <c r="B8" s="342" t="s">
        <v>57</v>
      </c>
      <c r="C8" s="362"/>
      <c r="D8" s="362"/>
      <c r="E8" s="362"/>
      <c r="F8" s="88"/>
    </row>
    <row r="9" spans="2:6" s="89" customFormat="1" ht="18.75">
      <c r="B9" s="133" t="str">
        <f>+'DEP-C2'!B9</f>
        <v>Al 31 de enero de 2023</v>
      </c>
      <c r="C9" s="363"/>
      <c r="D9" s="268"/>
      <c r="E9" s="268"/>
      <c r="F9" s="317">
        <f>+Portada!H39</f>
        <v>3.851</v>
      </c>
    </row>
    <row r="10" spans="2:5" ht="9.75" customHeight="1">
      <c r="B10" s="625"/>
      <c r="C10" s="625"/>
      <c r="D10" s="625"/>
      <c r="E10" s="625"/>
    </row>
    <row r="11" spans="2:5" ht="18" customHeight="1">
      <c r="B11" s="623" t="s">
        <v>95</v>
      </c>
      <c r="C11" s="623" t="s">
        <v>26</v>
      </c>
      <c r="D11" s="634" t="s">
        <v>86</v>
      </c>
      <c r="E11" s="635" t="s">
        <v>163</v>
      </c>
    </row>
    <row r="12" spans="2:6" s="81" customFormat="1" ht="18" customHeight="1">
      <c r="B12" s="624"/>
      <c r="C12" s="624"/>
      <c r="D12" s="618"/>
      <c r="E12" s="636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8" t="s">
        <v>213</v>
      </c>
      <c r="C14" s="369"/>
      <c r="D14" s="472">
        <f>SUM(D15:D26)</f>
        <v>4304527.796300001</v>
      </c>
      <c r="E14" s="380">
        <f>SUM(E15:E26)</f>
        <v>16576736.54355131</v>
      </c>
      <c r="F14" s="71"/>
    </row>
    <row r="15" spans="2:6" s="65" customFormat="1" ht="16.5" customHeight="1">
      <c r="B15" s="93" t="s">
        <v>207</v>
      </c>
      <c r="C15" s="83" t="s">
        <v>91</v>
      </c>
      <c r="D15" s="473">
        <v>2121847.3283400023</v>
      </c>
      <c r="E15" s="381">
        <f aca="true" t="shared" si="0" ref="E15:E26">ROUND(D15*$F$9,8)</f>
        <v>8171234.06143735</v>
      </c>
      <c r="F15" s="71"/>
    </row>
    <row r="16" spans="2:6" s="65" customFormat="1" ht="16.5" customHeight="1">
      <c r="B16" s="93" t="s">
        <v>168</v>
      </c>
      <c r="C16" s="83" t="s">
        <v>91</v>
      </c>
      <c r="D16" s="473">
        <v>1724498.9302900005</v>
      </c>
      <c r="E16" s="381">
        <f t="shared" si="0"/>
        <v>6641045.38054679</v>
      </c>
      <c r="F16" s="71"/>
    </row>
    <row r="17" spans="2:6" s="65" customFormat="1" ht="16.5" customHeight="1">
      <c r="B17" s="93" t="s">
        <v>205</v>
      </c>
      <c r="C17" s="83" t="s">
        <v>92</v>
      </c>
      <c r="D17" s="473">
        <v>389286.50763</v>
      </c>
      <c r="E17" s="381">
        <f t="shared" si="0"/>
        <v>1499142.34088313</v>
      </c>
      <c r="F17" s="71"/>
    </row>
    <row r="18" spans="2:6" s="65" customFormat="1" ht="16.5" customHeight="1">
      <c r="B18" s="93" t="s">
        <v>167</v>
      </c>
      <c r="C18" s="83" t="s">
        <v>92</v>
      </c>
      <c r="D18" s="473">
        <v>14283.388729999999</v>
      </c>
      <c r="E18" s="381">
        <f t="shared" si="0"/>
        <v>55005.32999923</v>
      </c>
      <c r="F18" s="71"/>
    </row>
    <row r="19" spans="2:6" s="65" customFormat="1" ht="16.5" customHeight="1">
      <c r="B19" s="93" t="s">
        <v>123</v>
      </c>
      <c r="C19" s="83" t="s">
        <v>91</v>
      </c>
      <c r="D19" s="473">
        <v>14244.908590000001</v>
      </c>
      <c r="E19" s="381">
        <f t="shared" si="0"/>
        <v>54857.14298009</v>
      </c>
      <c r="F19" s="71"/>
    </row>
    <row r="20" spans="2:6" s="65" customFormat="1" ht="16.5" customHeight="1">
      <c r="B20" s="93" t="s">
        <v>193</v>
      </c>
      <c r="C20" s="83" t="s">
        <v>92</v>
      </c>
      <c r="D20" s="473">
        <v>11875.98442</v>
      </c>
      <c r="E20" s="381">
        <f t="shared" si="0"/>
        <v>45734.41600142</v>
      </c>
      <c r="F20" s="71"/>
    </row>
    <row r="21" spans="2:6" s="65" customFormat="1" ht="16.5" customHeight="1">
      <c r="B21" s="93" t="s">
        <v>166</v>
      </c>
      <c r="C21" s="83" t="s">
        <v>92</v>
      </c>
      <c r="D21" s="473">
        <v>10183.14894</v>
      </c>
      <c r="E21" s="381">
        <f t="shared" si="0"/>
        <v>39215.30656794</v>
      </c>
      <c r="F21" s="71"/>
    </row>
    <row r="22" spans="2:6" s="65" customFormat="1" ht="16.5" customHeight="1">
      <c r="B22" s="93" t="s">
        <v>192</v>
      </c>
      <c r="C22" s="83" t="s">
        <v>92</v>
      </c>
      <c r="D22" s="473">
        <v>9312.14554</v>
      </c>
      <c r="E22" s="381">
        <f t="shared" si="0"/>
        <v>35861.07247454</v>
      </c>
      <c r="F22" s="71"/>
    </row>
    <row r="23" spans="2:6" s="65" customFormat="1" ht="16.5" customHeight="1">
      <c r="B23" s="93" t="s">
        <v>254</v>
      </c>
      <c r="C23" s="83" t="s">
        <v>92</v>
      </c>
      <c r="D23" s="473">
        <v>3895.09218</v>
      </c>
      <c r="E23" s="381">
        <f t="shared" si="0"/>
        <v>14999.99998518</v>
      </c>
      <c r="F23" s="71"/>
    </row>
    <row r="24" spans="2:6" s="65" customFormat="1" ht="16.5" customHeight="1">
      <c r="B24" s="93" t="s">
        <v>233</v>
      </c>
      <c r="C24" s="83" t="s">
        <v>92</v>
      </c>
      <c r="D24" s="473">
        <v>3644.6934</v>
      </c>
      <c r="E24" s="381">
        <f t="shared" si="0"/>
        <v>14035.7142834</v>
      </c>
      <c r="F24" s="71"/>
    </row>
    <row r="25" spans="2:6" s="65" customFormat="1" ht="16.5" customHeight="1">
      <c r="B25" s="66" t="s">
        <v>157</v>
      </c>
      <c r="C25" s="83" t="s">
        <v>92</v>
      </c>
      <c r="D25" s="473">
        <v>936.32262</v>
      </c>
      <c r="E25" s="381">
        <f t="shared" si="0"/>
        <v>3605.77840962</v>
      </c>
      <c r="F25" s="71"/>
    </row>
    <row r="26" spans="2:6" s="65" customFormat="1" ht="16.5" customHeight="1">
      <c r="B26" s="93" t="s">
        <v>246</v>
      </c>
      <c r="C26" s="83" t="s">
        <v>92</v>
      </c>
      <c r="D26" s="473">
        <v>519.3456199999999</v>
      </c>
      <c r="E26" s="381">
        <f t="shared" si="0"/>
        <v>1999.99998262</v>
      </c>
      <c r="F26" s="71"/>
    </row>
    <row r="27" spans="2:6" s="65" customFormat="1" ht="12" customHeight="1">
      <c r="B27" s="93"/>
      <c r="C27" s="83"/>
      <c r="D27" s="473"/>
      <c r="E27" s="381"/>
      <c r="F27" s="71"/>
    </row>
    <row r="28" spans="2:7" s="65" customFormat="1" ht="16.5" customHeight="1">
      <c r="B28" s="368" t="s">
        <v>114</v>
      </c>
      <c r="C28" s="369"/>
      <c r="D28" s="472">
        <f>SUM(D29:D41)</f>
        <v>56145.074550000005</v>
      </c>
      <c r="E28" s="380">
        <f>SUM(E29:E41)</f>
        <v>216214.68209205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3">
        <v>31654.72275</v>
      </c>
      <c r="E29" s="381">
        <f aca="true" t="shared" si="1" ref="E29:E41">ROUND(D29*$F$9,8)</f>
        <v>121902.33731025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3">
        <v>4976.71173</v>
      </c>
      <c r="E30" s="381">
        <f t="shared" si="1"/>
        <v>19165.31687223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3">
        <v>4473.44078</v>
      </c>
      <c r="E31" s="381">
        <f t="shared" si="1"/>
        <v>17227.22044378</v>
      </c>
      <c r="F31" s="91"/>
      <c r="G31" s="91"/>
      <c r="H31" s="65"/>
      <c r="I31" s="65"/>
    </row>
    <row r="32" spans="2:9" s="92" customFormat="1" ht="16.5" customHeight="1">
      <c r="B32" s="66" t="s">
        <v>202</v>
      </c>
      <c r="C32" s="83" t="s">
        <v>92</v>
      </c>
      <c r="D32" s="473">
        <v>3153.45106</v>
      </c>
      <c r="E32" s="381">
        <f t="shared" si="1"/>
        <v>12143.94003206</v>
      </c>
      <c r="F32" s="91"/>
      <c r="G32" s="91"/>
      <c r="H32" s="65"/>
      <c r="I32" s="65"/>
    </row>
    <row r="33" spans="2:9" s="92" customFormat="1" ht="16.5" customHeight="1">
      <c r="B33" s="66" t="s">
        <v>68</v>
      </c>
      <c r="C33" s="83" t="s">
        <v>92</v>
      </c>
      <c r="D33" s="473">
        <v>2875.54518</v>
      </c>
      <c r="E33" s="381">
        <f t="shared" si="1"/>
        <v>11073.72448818</v>
      </c>
      <c r="F33" s="91"/>
      <c r="G33" s="91"/>
      <c r="H33" s="65"/>
      <c r="I33" s="65"/>
    </row>
    <row r="34" spans="2:9" s="92" customFormat="1" ht="16.5" customHeight="1">
      <c r="B34" s="93" t="s">
        <v>195</v>
      </c>
      <c r="C34" s="83" t="s">
        <v>92</v>
      </c>
      <c r="D34" s="473">
        <v>2833.19356</v>
      </c>
      <c r="E34" s="381">
        <f t="shared" si="1"/>
        <v>10910.62839956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473">
        <v>1950.69247</v>
      </c>
      <c r="E35" s="381">
        <f t="shared" si="1"/>
        <v>7512.11670197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473">
        <v>1788.63971</v>
      </c>
      <c r="E36" s="381">
        <f t="shared" si="1"/>
        <v>6888.05152321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473">
        <v>1166.93281</v>
      </c>
      <c r="E37" s="381">
        <f t="shared" si="1"/>
        <v>4493.85825131</v>
      </c>
      <c r="F37" s="91"/>
      <c r="G37" s="91"/>
      <c r="H37" s="65"/>
      <c r="I37" s="65"/>
    </row>
    <row r="38" spans="2:9" s="92" customFormat="1" ht="16.5" customHeight="1">
      <c r="B38" s="66" t="s">
        <v>203</v>
      </c>
      <c r="C38" s="83" t="s">
        <v>92</v>
      </c>
      <c r="D38" s="473">
        <v>438.66758000000004</v>
      </c>
      <c r="E38" s="381">
        <f t="shared" si="1"/>
        <v>1689.30885058</v>
      </c>
      <c r="F38" s="91"/>
      <c r="G38" s="91"/>
      <c r="H38" s="65"/>
      <c r="I38" s="65"/>
    </row>
    <row r="39" spans="2:9" s="92" customFormat="1" ht="16.5" customHeight="1">
      <c r="B39" s="66" t="s">
        <v>224</v>
      </c>
      <c r="C39" s="83" t="s">
        <v>92</v>
      </c>
      <c r="D39" s="473">
        <v>397.82976</v>
      </c>
      <c r="E39" s="381">
        <f t="shared" si="1"/>
        <v>1532.04240576</v>
      </c>
      <c r="F39" s="91"/>
      <c r="G39" s="91"/>
      <c r="H39" s="65"/>
      <c r="I39" s="65"/>
    </row>
    <row r="40" spans="2:9" s="92" customFormat="1" ht="16.5" customHeight="1">
      <c r="B40" s="66" t="s">
        <v>42</v>
      </c>
      <c r="C40" s="83" t="s">
        <v>92</v>
      </c>
      <c r="D40" s="473">
        <v>366.09155</v>
      </c>
      <c r="E40" s="381">
        <f t="shared" si="1"/>
        <v>1409.81855905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3">
        <v>69.15561</v>
      </c>
      <c r="E41" s="381">
        <f t="shared" si="1"/>
        <v>266.31825411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3"/>
      <c r="E42" s="381"/>
      <c r="F42" s="91"/>
      <c r="G42" s="91"/>
    </row>
    <row r="43" spans="2:9" s="92" customFormat="1" ht="16.5" customHeight="1">
      <c r="B43" s="368" t="s">
        <v>85</v>
      </c>
      <c r="C43" s="369"/>
      <c r="D43" s="472">
        <f>+D44</f>
        <v>4155555.55554</v>
      </c>
      <c r="E43" s="475">
        <f>+E44</f>
        <v>16003044.4443845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3">
        <v>4155555.55554</v>
      </c>
      <c r="E44" s="381">
        <f>ROUND(D44*$F$9,8)</f>
        <v>16003044.4443845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4"/>
      <c r="E45" s="471"/>
      <c r="F45" s="91"/>
      <c r="G45" s="443"/>
    </row>
    <row r="46" spans="2:9" s="81" customFormat="1" ht="15" customHeight="1">
      <c r="B46" s="620" t="s">
        <v>60</v>
      </c>
      <c r="C46" s="637"/>
      <c r="D46" s="639">
        <f>+D28+D14+D43</f>
        <v>8516228.426390002</v>
      </c>
      <c r="E46" s="615">
        <f>+E28+E14+E43</f>
        <v>32795995.67002786</v>
      </c>
      <c r="F46" s="91"/>
      <c r="G46" s="443"/>
      <c r="H46" s="65"/>
      <c r="I46" s="65"/>
    </row>
    <row r="47" spans="2:9" s="81" customFormat="1" ht="15" customHeight="1">
      <c r="B47" s="621"/>
      <c r="C47" s="638"/>
      <c r="D47" s="640"/>
      <c r="E47" s="616"/>
      <c r="F47" s="91"/>
      <c r="G47" s="443"/>
      <c r="H47" s="65"/>
      <c r="I47" s="65"/>
    </row>
    <row r="48" spans="2:9" ht="15">
      <c r="B48" s="141"/>
      <c r="C48" s="141"/>
      <c r="D48" s="517"/>
      <c r="E48" s="517"/>
      <c r="F48" s="91"/>
      <c r="G48" s="443"/>
      <c r="H48" s="65"/>
      <c r="I48" s="65"/>
    </row>
    <row r="49" spans="2:9" ht="15">
      <c r="B49" s="141"/>
      <c r="C49" s="141"/>
      <c r="D49" s="453"/>
      <c r="E49" s="420"/>
      <c r="F49" s="91"/>
      <c r="G49" s="443"/>
      <c r="H49" s="65"/>
      <c r="I49" s="65"/>
    </row>
    <row r="50" spans="2:9" ht="15">
      <c r="B50" s="141"/>
      <c r="C50" s="141"/>
      <c r="D50" s="421"/>
      <c r="E50" s="422"/>
      <c r="F50" s="91"/>
      <c r="G50" s="443"/>
      <c r="H50" s="65"/>
      <c r="I50" s="65"/>
    </row>
    <row r="51" spans="2:9" ht="15">
      <c r="B51" s="141"/>
      <c r="C51" s="422"/>
      <c r="D51" s="421"/>
      <c r="E51" s="422"/>
      <c r="F51" s="91"/>
      <c r="G51" s="443"/>
      <c r="H51" s="65"/>
      <c r="I51" s="65"/>
    </row>
    <row r="52" spans="2:9" ht="15">
      <c r="B52" s="141"/>
      <c r="C52" s="141"/>
      <c r="D52" s="423"/>
      <c r="E52" s="423"/>
      <c r="F52" s="91"/>
      <c r="G52" s="65"/>
      <c r="H52" s="65"/>
      <c r="I52" s="65"/>
    </row>
    <row r="53" spans="2:7" ht="18">
      <c r="B53" s="364" t="s">
        <v>119</v>
      </c>
      <c r="C53" s="364"/>
      <c r="D53" s="364"/>
      <c r="E53" s="364"/>
      <c r="F53" s="419"/>
      <c r="G53" s="443"/>
    </row>
    <row r="54" spans="2:7" s="89" customFormat="1" ht="18.75">
      <c r="B54" s="365" t="s">
        <v>135</v>
      </c>
      <c r="C54" s="365"/>
      <c r="D54" s="365"/>
      <c r="E54" s="365"/>
      <c r="F54" s="419"/>
      <c r="G54" s="443"/>
    </row>
    <row r="55" spans="2:7" s="89" customFormat="1" ht="18.75">
      <c r="B55" s="365" t="s">
        <v>136</v>
      </c>
      <c r="C55" s="365"/>
      <c r="D55" s="365"/>
      <c r="E55" s="257"/>
      <c r="F55" s="419"/>
      <c r="G55" s="65"/>
    </row>
    <row r="56" spans="2:7" s="89" customFormat="1" ht="18.75">
      <c r="B56" s="367" t="s">
        <v>57</v>
      </c>
      <c r="C56" s="366"/>
      <c r="D56" s="366"/>
      <c r="E56" s="366"/>
      <c r="F56" s="419"/>
      <c r="G56" s="65"/>
    </row>
    <row r="57" spans="2:7" s="89" customFormat="1" ht="18.75">
      <c r="B57" s="133" t="str">
        <f>+B9</f>
        <v>Al 31 de enero de 2023</v>
      </c>
      <c r="C57" s="363"/>
      <c r="D57" s="256"/>
      <c r="E57" s="256"/>
      <c r="F57" s="419"/>
      <c r="G57" s="65"/>
    </row>
    <row r="58" spans="2:7" ht="6" customHeight="1">
      <c r="B58" s="641"/>
      <c r="C58" s="641"/>
      <c r="D58" s="641"/>
      <c r="E58" s="641"/>
      <c r="F58" s="419"/>
      <c r="G58" s="65"/>
    </row>
    <row r="59" spans="2:5" ht="18" customHeight="1">
      <c r="B59" s="623" t="s">
        <v>95</v>
      </c>
      <c r="C59" s="623" t="s">
        <v>26</v>
      </c>
      <c r="D59" s="634" t="s">
        <v>86</v>
      </c>
      <c r="E59" s="635" t="s">
        <v>163</v>
      </c>
    </row>
    <row r="60" spans="2:6" s="81" customFormat="1" ht="18" customHeight="1">
      <c r="B60" s="624"/>
      <c r="C60" s="624"/>
      <c r="D60" s="618"/>
      <c r="E60" s="636"/>
      <c r="F60" s="90"/>
    </row>
    <row r="61" spans="2:6" s="81" customFormat="1" ht="9.75" customHeight="1">
      <c r="B61" s="110"/>
      <c r="C61" s="255"/>
      <c r="D61" s="526"/>
      <c r="E61" s="140"/>
      <c r="F61" s="90"/>
    </row>
    <row r="62" spans="2:7" s="65" customFormat="1" ht="16.5" customHeight="1">
      <c r="B62" s="368" t="s">
        <v>84</v>
      </c>
      <c r="C62" s="369"/>
      <c r="D62" s="380">
        <f>SUM(D63:D71)</f>
        <v>333815.02241000003</v>
      </c>
      <c r="E62" s="469">
        <f>SUM(E63:E71)</f>
        <v>1285521.6513009102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381">
        <v>86027.85230000006</v>
      </c>
      <c r="E63" s="468">
        <f aca="true" t="shared" si="2" ref="E63:E71">ROUND(D63*$F$9,8)</f>
        <v>331293.2592073</v>
      </c>
      <c r="F63" s="71"/>
      <c r="G63" s="71"/>
    </row>
    <row r="64" spans="2:7" s="65" customFormat="1" ht="16.5" customHeight="1">
      <c r="B64" s="93" t="s">
        <v>248</v>
      </c>
      <c r="C64" s="83" t="s">
        <v>92</v>
      </c>
      <c r="D64" s="381">
        <v>77352.07865000001</v>
      </c>
      <c r="E64" s="468">
        <f t="shared" si="2"/>
        <v>297882.85488115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381">
        <v>58881.672679999996</v>
      </c>
      <c r="E65" s="468">
        <f t="shared" si="2"/>
        <v>226753.32149068</v>
      </c>
      <c r="F65" s="71"/>
      <c r="G65" s="71"/>
    </row>
    <row r="66" spans="2:7" s="65" customFormat="1" ht="16.5" customHeight="1">
      <c r="B66" s="93" t="s">
        <v>214</v>
      </c>
      <c r="C66" s="83" t="s">
        <v>92</v>
      </c>
      <c r="D66" s="381">
        <v>33711.18213</v>
      </c>
      <c r="E66" s="468">
        <f t="shared" si="2"/>
        <v>129821.76238263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381">
        <v>27784.99091</v>
      </c>
      <c r="E67" s="468">
        <f t="shared" si="2"/>
        <v>106999.99999441</v>
      </c>
      <c r="F67" s="71"/>
      <c r="G67" s="71"/>
    </row>
    <row r="68" spans="2:7" s="65" customFormat="1" ht="16.5" customHeight="1">
      <c r="B68" s="93" t="s">
        <v>226</v>
      </c>
      <c r="C68" s="83" t="s">
        <v>92</v>
      </c>
      <c r="D68" s="381">
        <v>21610.16839</v>
      </c>
      <c r="E68" s="468">
        <f t="shared" si="2"/>
        <v>83220.75846989</v>
      </c>
      <c r="F68" s="71"/>
      <c r="G68" s="71"/>
    </row>
    <row r="69" spans="2:7" s="65" customFormat="1" ht="16.5" customHeight="1">
      <c r="B69" s="93" t="s">
        <v>191</v>
      </c>
      <c r="C69" s="83" t="s">
        <v>92</v>
      </c>
      <c r="D69" s="381">
        <v>20773.824979999998</v>
      </c>
      <c r="E69" s="468">
        <f t="shared" si="2"/>
        <v>79999.99999798</v>
      </c>
      <c r="F69" s="71"/>
      <c r="G69" s="71"/>
    </row>
    <row r="70" spans="2:7" s="65" customFormat="1" ht="16.5" customHeight="1">
      <c r="B70" s="93" t="s">
        <v>236</v>
      </c>
      <c r="C70" s="83" t="s">
        <v>92</v>
      </c>
      <c r="D70" s="381">
        <v>7361.6449999999995</v>
      </c>
      <c r="E70" s="468">
        <f t="shared" si="2"/>
        <v>28349.694895</v>
      </c>
      <c r="F70" s="71"/>
      <c r="G70" s="71"/>
    </row>
    <row r="71" spans="2:7" s="65" customFormat="1" ht="16.5" customHeight="1">
      <c r="B71" s="93" t="s">
        <v>233</v>
      </c>
      <c r="C71" s="83" t="s">
        <v>92</v>
      </c>
      <c r="D71" s="381">
        <v>311.60737</v>
      </c>
      <c r="E71" s="468">
        <f t="shared" si="2"/>
        <v>1199.99998187</v>
      </c>
      <c r="F71" s="71"/>
      <c r="G71" s="71"/>
    </row>
    <row r="72" spans="2:7" s="65" customFormat="1" ht="12" customHeight="1">
      <c r="B72" s="70"/>
      <c r="C72" s="72"/>
      <c r="D72" s="388"/>
      <c r="E72" s="467"/>
      <c r="F72" s="71"/>
      <c r="G72" s="71"/>
    </row>
    <row r="73" spans="2:7" s="92" customFormat="1" ht="16.5" customHeight="1">
      <c r="B73" s="368" t="s">
        <v>158</v>
      </c>
      <c r="C73" s="72"/>
      <c r="D73" s="380">
        <f>+D74</f>
        <v>499999.97107</v>
      </c>
      <c r="E73" s="469">
        <f>+E74</f>
        <v>1925499.88859057</v>
      </c>
      <c r="F73" s="71"/>
      <c r="G73" s="443"/>
    </row>
    <row r="74" spans="2:7" s="92" customFormat="1" ht="16.5" customHeight="1">
      <c r="B74" s="93" t="s">
        <v>197</v>
      </c>
      <c r="C74" s="83" t="s">
        <v>92</v>
      </c>
      <c r="D74" s="381">
        <v>499999.97107</v>
      </c>
      <c r="E74" s="468">
        <f>ROUND(D74*$F$9,8)</f>
        <v>1925499.88859057</v>
      </c>
      <c r="F74" s="71"/>
      <c r="G74" s="443"/>
    </row>
    <row r="75" spans="2:7" s="65" customFormat="1" ht="9.75" customHeight="1">
      <c r="B75" s="84"/>
      <c r="C75" s="85"/>
      <c r="D75" s="471"/>
      <c r="E75" s="529"/>
      <c r="F75" s="71"/>
      <c r="G75" s="443"/>
    </row>
    <row r="76" spans="2:7" s="81" customFormat="1" ht="15" customHeight="1">
      <c r="B76" s="620" t="s">
        <v>60</v>
      </c>
      <c r="C76" s="637"/>
      <c r="D76" s="639">
        <f>+D62+D73</f>
        <v>833814.9934800001</v>
      </c>
      <c r="E76" s="615">
        <f>+E62+E73</f>
        <v>3211021.5398914805</v>
      </c>
      <c r="F76" s="71"/>
      <c r="G76" s="443"/>
    </row>
    <row r="77" spans="2:6" s="81" customFormat="1" ht="15" customHeight="1">
      <c r="B77" s="621"/>
      <c r="C77" s="638"/>
      <c r="D77" s="640"/>
      <c r="E77" s="616"/>
      <c r="F77" s="90"/>
    </row>
    <row r="78" spans="4:5" ht="12.75">
      <c r="D78" s="192"/>
      <c r="E78" s="192"/>
    </row>
    <row r="79" spans="2:5" ht="15">
      <c r="B79" s="134"/>
      <c r="D79" s="370"/>
      <c r="E79" s="293"/>
    </row>
    <row r="80" spans="2:5" ht="15">
      <c r="B80" s="134"/>
      <c r="D80" s="370"/>
      <c r="E80" s="293"/>
    </row>
    <row r="81" spans="4:5" ht="12.75">
      <c r="D81" s="294"/>
      <c r="E81" s="294"/>
    </row>
    <row r="82" spans="4:5" ht="12.75">
      <c r="D82" s="244"/>
      <c r="E82" s="244"/>
    </row>
  </sheetData>
  <sheetProtection/>
  <mergeCells count="18"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8:E58"/>
    <mergeCell ref="B59:B60"/>
    <mergeCell ref="C59:C60"/>
    <mergeCell ref="D59:D60"/>
    <mergeCell ref="E59:E60"/>
    <mergeCell ref="B46:B47"/>
    <mergeCell ref="C46:C47"/>
    <mergeCell ref="D46:D47"/>
    <mergeCell ref="E46:E4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8"/>
      <c r="C1" s="648"/>
      <c r="D1" s="648"/>
      <c r="E1" s="648"/>
    </row>
    <row r="2" spans="2:5" s="136" customFormat="1" ht="18.75" customHeight="1">
      <c r="B2" s="648"/>
      <c r="C2" s="648"/>
      <c r="D2" s="648"/>
      <c r="E2" s="648"/>
    </row>
    <row r="3" spans="2:5" s="136" customFormat="1" ht="11.25" customHeight="1">
      <c r="B3" s="648"/>
      <c r="C3" s="648"/>
      <c r="D3" s="648"/>
      <c r="E3" s="648"/>
    </row>
    <row r="4" spans="2:11" s="136" customFormat="1" ht="15" customHeight="1">
      <c r="B4" s="648"/>
      <c r="C4" s="648"/>
      <c r="D4" s="648"/>
      <c r="E4" s="648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8" t="s">
        <v>135</v>
      </c>
      <c r="C6" s="318"/>
      <c r="D6" s="318"/>
      <c r="E6" s="318"/>
      <c r="F6" s="135"/>
      <c r="G6" s="132"/>
      <c r="H6" s="132"/>
      <c r="I6" s="132"/>
      <c r="J6" s="132"/>
      <c r="K6" s="132"/>
    </row>
    <row r="7" spans="2:11" ht="18">
      <c r="B7" s="318" t="s">
        <v>134</v>
      </c>
      <c r="C7" s="318"/>
      <c r="D7" s="318"/>
      <c r="E7" s="318"/>
      <c r="F7" s="135"/>
      <c r="G7" s="132"/>
      <c r="H7" s="132"/>
      <c r="I7" s="132"/>
      <c r="J7" s="132"/>
      <c r="K7" s="132"/>
    </row>
    <row r="8" spans="2:11" ht="16.5">
      <c r="B8" s="342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enero de 2023</v>
      </c>
      <c r="C9" s="133"/>
      <c r="D9" s="133"/>
      <c r="E9" s="265"/>
      <c r="F9" s="371">
        <f>+Portada!H39</f>
        <v>3.851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4" t="s">
        <v>208</v>
      </c>
      <c r="C11" s="642" t="s">
        <v>100</v>
      </c>
      <c r="D11" s="644" t="s">
        <v>86</v>
      </c>
      <c r="E11" s="607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3" t="s">
        <v>209</v>
      </c>
      <c r="C12" s="643"/>
      <c r="D12" s="645"/>
      <c r="E12" s="608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1" t="s">
        <v>88</v>
      </c>
      <c r="C14" s="361"/>
      <c r="D14" s="380">
        <f>+D15+D18+D20+D22+D25</f>
        <v>4655637.2591699995</v>
      </c>
      <c r="E14" s="380">
        <f>+E15+E18+E20+E22+E25</f>
        <v>17928859.08506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0">
        <f>SUM(D16:D17)</f>
        <v>1155555.55554</v>
      </c>
      <c r="E15" s="470">
        <f>SUM(E16:E17)</f>
        <v>4450044.44438</v>
      </c>
      <c r="G15" s="165"/>
      <c r="H15" s="165"/>
      <c r="I15" s="165"/>
      <c r="J15" s="165"/>
      <c r="K15" s="165"/>
    </row>
    <row r="16" spans="2:11" s="65" customFormat="1" ht="16.5" customHeight="1">
      <c r="B16" s="387" t="s">
        <v>227</v>
      </c>
      <c r="C16" s="74" t="s">
        <v>102</v>
      </c>
      <c r="D16" s="383">
        <v>1155555.55554</v>
      </c>
      <c r="E16" s="383">
        <f>ROUND(+D16*$F$9,5)</f>
        <v>4450044.44438</v>
      </c>
      <c r="G16" s="165"/>
      <c r="H16" s="165"/>
      <c r="I16" s="165"/>
      <c r="J16" s="165"/>
      <c r="K16" s="165"/>
    </row>
    <row r="17" spans="2:11" s="65" customFormat="1" ht="16.5" customHeight="1" hidden="1">
      <c r="B17" s="387" t="s">
        <v>186</v>
      </c>
      <c r="C17" s="74" t="s">
        <v>101</v>
      </c>
      <c r="D17" s="383">
        <v>0</v>
      </c>
      <c r="E17" s="383">
        <f>ROUND(+D17*$F$9,5)</f>
        <v>0</v>
      </c>
      <c r="G17" s="516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0">
        <f>+D19</f>
        <v>1515.31654</v>
      </c>
      <c r="E18" s="470">
        <f>+E19</f>
        <v>5835.484</v>
      </c>
      <c r="G18" s="165"/>
      <c r="H18" s="165"/>
      <c r="I18" s="165"/>
      <c r="J18" s="165"/>
      <c r="K18" s="165"/>
    </row>
    <row r="19" spans="2:11" s="65" customFormat="1" ht="16.5" customHeight="1">
      <c r="B19" s="387" t="s">
        <v>183</v>
      </c>
      <c r="C19" s="74" t="s">
        <v>101</v>
      </c>
      <c r="D19" s="383">
        <v>1515.31654</v>
      </c>
      <c r="E19" s="383">
        <f aca="true" t="shared" si="0" ref="E19:E24">ROUND(+D19*$F$9,5)</f>
        <v>5835.484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0">
        <f>+D21</f>
        <v>3000000</v>
      </c>
      <c r="E20" s="470">
        <f>+E21</f>
        <v>11553000</v>
      </c>
      <c r="G20" s="165"/>
      <c r="H20" s="165"/>
      <c r="I20" s="165"/>
      <c r="J20" s="165"/>
      <c r="K20" s="165"/>
    </row>
    <row r="21" spans="2:11" s="65" customFormat="1" ht="16.5" customHeight="1">
      <c r="B21" s="392" t="s">
        <v>220</v>
      </c>
      <c r="C21" s="74" t="s">
        <v>102</v>
      </c>
      <c r="D21" s="383">
        <v>3000000</v>
      </c>
      <c r="E21" s="383">
        <f>ROUND(+D21*$F$9,5)</f>
        <v>11553000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0">
        <f>SUM(D23:D24)</f>
        <v>444852.58826</v>
      </c>
      <c r="E22" s="470">
        <f>SUM(E23:E24)</f>
        <v>1713127.31739</v>
      </c>
      <c r="G22" s="165"/>
      <c r="H22" s="165"/>
      <c r="I22" s="165"/>
      <c r="J22" s="165"/>
      <c r="K22" s="165"/>
    </row>
    <row r="23" spans="2:11" s="65" customFormat="1" ht="16.5" customHeight="1">
      <c r="B23" s="387" t="s">
        <v>221</v>
      </c>
      <c r="C23" s="74" t="s">
        <v>101</v>
      </c>
      <c r="D23" s="383">
        <v>308823.23256</v>
      </c>
      <c r="E23" s="383">
        <f t="shared" si="0"/>
        <v>1189278.26859</v>
      </c>
      <c r="G23" s="165"/>
      <c r="H23" s="165"/>
      <c r="I23" s="165"/>
      <c r="J23" s="165"/>
      <c r="K23" s="165"/>
    </row>
    <row r="24" spans="2:11" s="65" customFormat="1" ht="16.5" customHeight="1">
      <c r="B24" s="387" t="s">
        <v>180</v>
      </c>
      <c r="C24" s="74" t="s">
        <v>101</v>
      </c>
      <c r="D24" s="383">
        <v>136029.3557</v>
      </c>
      <c r="E24" s="383">
        <f t="shared" si="0"/>
        <v>523849.0488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0">
        <f>SUM(D26:D27)</f>
        <v>53713.79883</v>
      </c>
      <c r="E25" s="470">
        <f>SUM(E26:E27)</f>
        <v>206851.83929</v>
      </c>
      <c r="G25" s="165"/>
      <c r="H25" s="165"/>
      <c r="I25" s="165"/>
      <c r="J25" s="165"/>
      <c r="K25" s="165"/>
    </row>
    <row r="26" spans="2:11" s="65" customFormat="1" ht="16.5" customHeight="1">
      <c r="B26" s="387" t="s">
        <v>0</v>
      </c>
      <c r="C26" s="74" t="s">
        <v>101</v>
      </c>
      <c r="D26" s="383">
        <v>53713.79883</v>
      </c>
      <c r="E26" s="383">
        <f>ROUND(+D26*$F$9,5)</f>
        <v>206851.83929</v>
      </c>
      <c r="G26" s="165"/>
      <c r="H26" s="165"/>
      <c r="I26" s="165"/>
      <c r="J26" s="165"/>
      <c r="K26" s="165"/>
    </row>
    <row r="27" spans="2:11" s="65" customFormat="1" ht="16.5" customHeight="1" hidden="1">
      <c r="B27" s="387" t="s">
        <v>181</v>
      </c>
      <c r="C27" s="74" t="s">
        <v>101</v>
      </c>
      <c r="D27" s="383">
        <v>0</v>
      </c>
      <c r="E27" s="383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1"/>
      <c r="E28" s="381"/>
      <c r="G28" s="165"/>
      <c r="H28" s="165"/>
      <c r="I28" s="165"/>
      <c r="J28" s="165"/>
      <c r="K28" s="165"/>
    </row>
    <row r="29" spans="2:11" s="65" customFormat="1" ht="21.75" customHeight="1">
      <c r="B29" s="361" t="s">
        <v>89</v>
      </c>
      <c r="C29" s="68"/>
      <c r="D29" s="380">
        <f>+D30+D36+D38+D41+D43</f>
        <v>3860591.16722</v>
      </c>
      <c r="E29" s="380">
        <f>+E30+E36+E38+E41+E43</f>
        <v>14867136.58496</v>
      </c>
      <c r="F29" s="216"/>
      <c r="G29" s="418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0">
        <f>SUM(D31:D35)</f>
        <v>277247.89996999997</v>
      </c>
      <c r="E30" s="470">
        <f>SUM(E31:E35)</f>
        <v>1067681.66278</v>
      </c>
      <c r="F30" s="260"/>
    </row>
    <row r="31" spans="2:6" s="65" customFormat="1" ht="16.5" customHeight="1">
      <c r="B31" s="387" t="s">
        <v>255</v>
      </c>
      <c r="C31" s="74" t="s">
        <v>102</v>
      </c>
      <c r="D31" s="383">
        <v>150000</v>
      </c>
      <c r="E31" s="383">
        <f>ROUND(+D31*$F$9,5)</f>
        <v>577650</v>
      </c>
      <c r="F31" s="387"/>
    </row>
    <row r="32" spans="2:6" s="65" customFormat="1" ht="16.5" customHeight="1">
      <c r="B32" s="387" t="s">
        <v>184</v>
      </c>
      <c r="C32" s="74" t="s">
        <v>102</v>
      </c>
      <c r="D32" s="383">
        <v>72448.71462</v>
      </c>
      <c r="E32" s="383">
        <f>ROUND(+D32*$F$9,5)</f>
        <v>279000</v>
      </c>
      <c r="F32" s="387"/>
    </row>
    <row r="33" spans="2:6" s="65" customFormat="1" ht="16.5" customHeight="1">
      <c r="B33" s="387" t="s">
        <v>186</v>
      </c>
      <c r="C33" s="74" t="s">
        <v>101</v>
      </c>
      <c r="D33" s="383">
        <v>30065.34997</v>
      </c>
      <c r="E33" s="383">
        <f>ROUND(+D33*$F$9,5)</f>
        <v>115781.66273</v>
      </c>
      <c r="F33" s="387"/>
    </row>
    <row r="34" spans="2:6" s="65" customFormat="1" ht="16.5" customHeight="1">
      <c r="B34" s="387" t="s">
        <v>156</v>
      </c>
      <c r="C34" s="74" t="s">
        <v>101</v>
      </c>
      <c r="D34" s="383">
        <v>24733.83538</v>
      </c>
      <c r="E34" s="383">
        <f>ROUND(+D34*$F$9,5)</f>
        <v>95250.00005</v>
      </c>
      <c r="F34" s="387"/>
    </row>
    <row r="35" spans="2:6" s="65" customFormat="1" ht="16.5" customHeight="1" hidden="1">
      <c r="B35" s="387" t="s">
        <v>182</v>
      </c>
      <c r="C35" s="74" t="s">
        <v>101</v>
      </c>
      <c r="D35" s="383">
        <v>0</v>
      </c>
      <c r="E35" s="383">
        <f>ROUND(+D35*$F$9,5)</f>
        <v>0</v>
      </c>
      <c r="F35" s="387"/>
    </row>
    <row r="36" spans="2:6" s="65" customFormat="1" ht="16.5" customHeight="1">
      <c r="B36" s="73" t="s">
        <v>124</v>
      </c>
      <c r="C36" s="74"/>
      <c r="D36" s="470">
        <f>+D37</f>
        <v>421171.99012</v>
      </c>
      <c r="E36" s="470">
        <f>+E37</f>
        <v>1621933.33395</v>
      </c>
      <c r="F36" s="260"/>
    </row>
    <row r="37" spans="2:7" s="65" customFormat="1" ht="16.5" customHeight="1">
      <c r="B37" s="387" t="s">
        <v>183</v>
      </c>
      <c r="C37" s="74" t="s">
        <v>101</v>
      </c>
      <c r="D37" s="383">
        <v>421171.99012</v>
      </c>
      <c r="E37" s="383">
        <f>ROUND(+D37*$F$9,5)</f>
        <v>1621933.33395</v>
      </c>
      <c r="G37" s="352"/>
    </row>
    <row r="38" spans="2:5" s="65" customFormat="1" ht="16.5" customHeight="1">
      <c r="B38" s="73" t="s">
        <v>74</v>
      </c>
      <c r="C38" s="74"/>
      <c r="D38" s="470">
        <f>SUM(D39:D40)</f>
        <v>2676068.53727</v>
      </c>
      <c r="E38" s="470">
        <f>SUM(E39:E40)</f>
        <v>10305539.93703</v>
      </c>
    </row>
    <row r="39" spans="2:5" s="65" customFormat="1" ht="16.5" customHeight="1">
      <c r="B39" s="392" t="s">
        <v>222</v>
      </c>
      <c r="C39" s="74" t="s">
        <v>102</v>
      </c>
      <c r="D39" s="383">
        <v>2156057.21839</v>
      </c>
      <c r="E39" s="383">
        <f>ROUND(+D39*$F$9,5)</f>
        <v>8302976.34802</v>
      </c>
    </row>
    <row r="40" spans="2:5" s="65" customFormat="1" ht="16.5" customHeight="1">
      <c r="B40" s="392" t="s">
        <v>223</v>
      </c>
      <c r="C40" s="74" t="s">
        <v>101</v>
      </c>
      <c r="D40" s="383">
        <v>520011.31888</v>
      </c>
      <c r="E40" s="383">
        <f>ROUND(+D40*$F$9,5)</f>
        <v>2002563.58901</v>
      </c>
    </row>
    <row r="41" spans="2:5" s="65" customFormat="1" ht="16.5" customHeight="1">
      <c r="B41" s="73" t="s">
        <v>87</v>
      </c>
      <c r="C41" s="73"/>
      <c r="D41" s="470">
        <f>+D42</f>
        <v>23140.05524</v>
      </c>
      <c r="E41" s="470">
        <f>+E42</f>
        <v>89112.35273</v>
      </c>
    </row>
    <row r="42" spans="2:5" s="65" customFormat="1" ht="16.5" customHeight="1">
      <c r="B42" s="387" t="s">
        <v>221</v>
      </c>
      <c r="C42" s="74" t="s">
        <v>101</v>
      </c>
      <c r="D42" s="383">
        <v>23140.05524</v>
      </c>
      <c r="E42" s="383">
        <f>ROUND(+D42*$F$9,5)</f>
        <v>89112.35273</v>
      </c>
    </row>
    <row r="43" spans="2:5" s="65" customFormat="1" ht="16.5" customHeight="1">
      <c r="B43" s="73" t="s">
        <v>36</v>
      </c>
      <c r="C43" s="74"/>
      <c r="D43" s="470">
        <f>SUM(D44:D48)</f>
        <v>462962.68462</v>
      </c>
      <c r="E43" s="470">
        <f>SUM(E44:E48)</f>
        <v>1782869.2984699998</v>
      </c>
    </row>
    <row r="44" spans="2:5" s="65" customFormat="1" ht="16.5" customHeight="1">
      <c r="B44" s="387" t="s">
        <v>229</v>
      </c>
      <c r="C44" s="74" t="s">
        <v>102</v>
      </c>
      <c r="D44" s="383">
        <v>235024.20199</v>
      </c>
      <c r="E44" s="383">
        <f>ROUND(+D44*$F$9,5)</f>
        <v>905078.20186</v>
      </c>
    </row>
    <row r="45" spans="2:7" s="65" customFormat="1" ht="16.5" customHeight="1">
      <c r="B45" s="387" t="s">
        <v>165</v>
      </c>
      <c r="C45" s="74" t="s">
        <v>102</v>
      </c>
      <c r="D45" s="383">
        <v>168871.0004</v>
      </c>
      <c r="E45" s="383">
        <f>ROUND(+D45*$F$9,5)</f>
        <v>650322.22254</v>
      </c>
      <c r="G45" s="497"/>
    </row>
    <row r="46" spans="2:7" s="65" customFormat="1" ht="16.5" customHeight="1">
      <c r="B46" s="387" t="s">
        <v>230</v>
      </c>
      <c r="C46" s="74" t="s">
        <v>102</v>
      </c>
      <c r="D46" s="383">
        <v>39038.462</v>
      </c>
      <c r="E46" s="383">
        <f>ROUND(+D46*$F$9,5)</f>
        <v>150337.11716</v>
      </c>
      <c r="G46" s="497"/>
    </row>
    <row r="47" spans="2:7" s="65" customFormat="1" ht="16.5" customHeight="1">
      <c r="B47" s="387" t="s">
        <v>206</v>
      </c>
      <c r="C47" s="74" t="s">
        <v>101</v>
      </c>
      <c r="D47" s="383">
        <v>14244.90859</v>
      </c>
      <c r="E47" s="383">
        <f>ROUND(+D47*$F$9,5)</f>
        <v>54857.14298</v>
      </c>
      <c r="G47" s="497"/>
    </row>
    <row r="48" spans="2:8" s="65" customFormat="1" ht="16.5" customHeight="1">
      <c r="B48" s="387" t="s">
        <v>177</v>
      </c>
      <c r="C48" s="74" t="s">
        <v>102</v>
      </c>
      <c r="D48" s="383">
        <v>5784.11164</v>
      </c>
      <c r="E48" s="383">
        <f>ROUND(+D48*$F$9,5)</f>
        <v>22274.61393</v>
      </c>
      <c r="H48" s="360"/>
    </row>
    <row r="49" spans="2:5" s="65" customFormat="1" ht="9.75" customHeight="1">
      <c r="B49" s="143"/>
      <c r="C49" s="144"/>
      <c r="D49" s="471"/>
      <c r="E49" s="471"/>
    </row>
    <row r="50" spans="2:5" s="81" customFormat="1" ht="15" customHeight="1">
      <c r="B50" s="647" t="s">
        <v>99</v>
      </c>
      <c r="C50" s="145"/>
      <c r="D50" s="653">
        <f>+D29+D14</f>
        <v>8516228.42639</v>
      </c>
      <c r="E50" s="615">
        <f>+E29+E14</f>
        <v>32795995.67002</v>
      </c>
    </row>
    <row r="51" spans="2:5" s="81" customFormat="1" ht="15" customHeight="1">
      <c r="B51" s="621"/>
      <c r="C51" s="146"/>
      <c r="D51" s="616"/>
      <c r="E51" s="616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247</v>
      </c>
      <c r="C53" s="86"/>
      <c r="D53" s="518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86" t="s">
        <v>259</v>
      </c>
      <c r="C55" s="86"/>
      <c r="D55" s="169"/>
      <c r="E55" s="65"/>
    </row>
    <row r="56" spans="2:5" ht="14.25" customHeight="1">
      <c r="B56" s="86" t="s">
        <v>260</v>
      </c>
      <c r="C56" s="86"/>
      <c r="D56" s="86"/>
      <c r="E56" s="210"/>
    </row>
    <row r="57" spans="2:5" ht="12.75">
      <c r="B57" s="454"/>
      <c r="C57" s="86"/>
      <c r="D57" s="86"/>
      <c r="E57" s="210"/>
    </row>
    <row r="58" spans="4:6" ht="15">
      <c r="D58" s="390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6" t="s">
        <v>135</v>
      </c>
      <c r="C63" s="646"/>
      <c r="D63" s="646"/>
      <c r="E63" s="646"/>
      <c r="F63" s="135"/>
    </row>
    <row r="64" spans="2:6" s="136" customFormat="1" ht="18">
      <c r="B64" s="646" t="s">
        <v>136</v>
      </c>
      <c r="C64" s="646"/>
      <c r="D64" s="646"/>
      <c r="E64" s="646"/>
      <c r="F64" s="135"/>
    </row>
    <row r="65" spans="2:5" ht="16.5">
      <c r="B65" s="652" t="s">
        <v>104</v>
      </c>
      <c r="C65" s="652"/>
      <c r="D65" s="652"/>
      <c r="E65" s="652"/>
    </row>
    <row r="66" spans="2:5" ht="15.75">
      <c r="B66" s="619" t="str">
        <f>+B9</f>
        <v>Al 31 de enero de 2023</v>
      </c>
      <c r="C66" s="619"/>
      <c r="D66" s="619"/>
      <c r="E66" s="541"/>
    </row>
    <row r="67" spans="2:5" ht="9.75" customHeight="1">
      <c r="B67" s="184"/>
      <c r="C67" s="184"/>
      <c r="D67" s="184"/>
      <c r="E67" s="184"/>
    </row>
    <row r="68" spans="2:5" ht="16.5" customHeight="1">
      <c r="B68" s="394" t="s">
        <v>208</v>
      </c>
      <c r="C68" s="642" t="s">
        <v>100</v>
      </c>
      <c r="D68" s="644" t="s">
        <v>86</v>
      </c>
      <c r="E68" s="607" t="s">
        <v>163</v>
      </c>
    </row>
    <row r="69" spans="2:5" s="81" customFormat="1" ht="16.5" customHeight="1">
      <c r="B69" s="393" t="s">
        <v>209</v>
      </c>
      <c r="C69" s="643"/>
      <c r="D69" s="645"/>
      <c r="E69" s="608"/>
    </row>
    <row r="70" spans="2:5" s="81" customFormat="1" ht="9.75" customHeight="1">
      <c r="B70" s="540"/>
      <c r="C70" s="142"/>
      <c r="D70" s="96"/>
      <c r="E70" s="96"/>
    </row>
    <row r="71" spans="2:5" s="81" customFormat="1" ht="16.5">
      <c r="B71" s="361" t="s">
        <v>234</v>
      </c>
      <c r="C71" s="361"/>
      <c r="D71" s="395">
        <f>+D72</f>
        <v>0</v>
      </c>
      <c r="E71" s="395">
        <f>+E72</f>
        <v>0</v>
      </c>
    </row>
    <row r="72" spans="2:5" s="81" customFormat="1" ht="16.5" hidden="1">
      <c r="B72" s="73" t="s">
        <v>35</v>
      </c>
      <c r="C72" s="73"/>
      <c r="D72" s="396">
        <f>SUM(D73:D73)</f>
        <v>0</v>
      </c>
      <c r="E72" s="396">
        <f>SUM(E73:E73)</f>
        <v>0</v>
      </c>
    </row>
    <row r="73" spans="2:5" s="81" customFormat="1" ht="16.5" hidden="1">
      <c r="B73" s="387"/>
      <c r="C73" s="74"/>
      <c r="D73" s="424">
        <v>0</v>
      </c>
      <c r="E73" s="391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1" t="s">
        <v>232</v>
      </c>
      <c r="C75" s="361"/>
      <c r="D75" s="395">
        <f>+D76+D84+D86</f>
        <v>833814.99348</v>
      </c>
      <c r="E75" s="395">
        <f>+E76+E84+E86</f>
        <v>3211021.5398799996</v>
      </c>
    </row>
    <row r="76" spans="2:5" s="65" customFormat="1" ht="16.5" customHeight="1">
      <c r="B76" s="73" t="s">
        <v>35</v>
      </c>
      <c r="C76" s="73"/>
      <c r="D76" s="396">
        <f>SUM(D77:D83)</f>
        <v>763452.31713</v>
      </c>
      <c r="E76" s="396">
        <f>SUM(E77:E83)</f>
        <v>2940054.87326</v>
      </c>
    </row>
    <row r="77" spans="2:5" s="65" customFormat="1" ht="16.5" customHeight="1">
      <c r="B77" s="387" t="s">
        <v>252</v>
      </c>
      <c r="C77" s="74" t="s">
        <v>102</v>
      </c>
      <c r="D77" s="424">
        <v>221791.15518</v>
      </c>
      <c r="E77" s="391">
        <f>ROUND(+D77*$F$9,5)</f>
        <v>854117.7386</v>
      </c>
    </row>
    <row r="78" spans="2:5" s="65" customFormat="1" ht="16.5" customHeight="1">
      <c r="B78" s="387" t="s">
        <v>185</v>
      </c>
      <c r="C78" s="74" t="s">
        <v>101</v>
      </c>
      <c r="D78" s="424">
        <v>152215.79535</v>
      </c>
      <c r="E78" s="391">
        <f>ROUND(+D78*$F$9,5)</f>
        <v>586183.02789</v>
      </c>
    </row>
    <row r="79" spans="2:5" s="65" customFormat="1" ht="16.5" customHeight="1">
      <c r="B79" s="387" t="s">
        <v>156</v>
      </c>
      <c r="C79" s="74" t="s">
        <v>101</v>
      </c>
      <c r="D79" s="424">
        <v>138454.44682</v>
      </c>
      <c r="E79" s="391">
        <f>ROUND(+D79*$F$9,5)</f>
        <v>533188.0747</v>
      </c>
    </row>
    <row r="80" spans="2:5" s="65" customFormat="1" ht="16.5" customHeight="1">
      <c r="B80" s="387" t="s">
        <v>251</v>
      </c>
      <c r="C80" s="74" t="s">
        <v>102</v>
      </c>
      <c r="D80" s="424">
        <v>125000</v>
      </c>
      <c r="E80" s="391">
        <f>ROUND(+D80*$F$9,5)</f>
        <v>481375</v>
      </c>
    </row>
    <row r="81" spans="2:5" s="65" customFormat="1" ht="16.5" customHeight="1">
      <c r="B81" s="387" t="s">
        <v>186</v>
      </c>
      <c r="C81" s="74" t="s">
        <v>101</v>
      </c>
      <c r="D81" s="424">
        <v>78340.91978</v>
      </c>
      <c r="E81" s="391">
        <f>ROUND(+D81*$F$9,5)</f>
        <v>301690.88207</v>
      </c>
    </row>
    <row r="82" spans="2:5" s="65" customFormat="1" ht="16.5" customHeight="1">
      <c r="B82" s="387" t="s">
        <v>255</v>
      </c>
      <c r="C82" s="74" t="s">
        <v>102</v>
      </c>
      <c r="D82" s="424">
        <v>40000</v>
      </c>
      <c r="E82" s="391">
        <f>ROUND(+D82*$F$9,5)</f>
        <v>154040</v>
      </c>
    </row>
    <row r="83" spans="2:5" s="65" customFormat="1" ht="16.5" customHeight="1">
      <c r="B83" s="387" t="s">
        <v>253</v>
      </c>
      <c r="C83" s="74" t="s">
        <v>101</v>
      </c>
      <c r="D83" s="424">
        <v>7650</v>
      </c>
      <c r="E83" s="391">
        <f>ROUND(+D83*$F$9,5)</f>
        <v>29460.15</v>
      </c>
    </row>
    <row r="84" spans="2:5" s="65" customFormat="1" ht="16.5" customHeight="1">
      <c r="B84" s="73" t="s">
        <v>124</v>
      </c>
      <c r="C84" s="75"/>
      <c r="D84" s="396">
        <f>+D85</f>
        <v>70051.06898</v>
      </c>
      <c r="E84" s="396">
        <f>+E85</f>
        <v>269766.66664</v>
      </c>
    </row>
    <row r="85" spans="2:5" s="65" customFormat="1" ht="16.5" customHeight="1">
      <c r="B85" s="387" t="s">
        <v>183</v>
      </c>
      <c r="C85" s="74" t="s">
        <v>101</v>
      </c>
      <c r="D85" s="424">
        <v>70051.06898</v>
      </c>
      <c r="E85" s="391">
        <f>ROUND(+D85*$F$9,5)</f>
        <v>269766.66664</v>
      </c>
    </row>
    <row r="86" spans="2:5" s="65" customFormat="1" ht="16.5" customHeight="1">
      <c r="B86" s="73" t="s">
        <v>36</v>
      </c>
      <c r="C86" s="74"/>
      <c r="D86" s="396">
        <f>SUM(D87:D87)</f>
        <v>311.60737</v>
      </c>
      <c r="E86" s="396">
        <f>SUM(E87:E87)</f>
        <v>1199.99998</v>
      </c>
    </row>
    <row r="87" spans="2:5" s="65" customFormat="1" ht="16.5" customHeight="1">
      <c r="B87" s="387" t="s">
        <v>0</v>
      </c>
      <c r="C87" s="74" t="s">
        <v>101</v>
      </c>
      <c r="D87" s="424">
        <v>311.60737</v>
      </c>
      <c r="E87" s="391">
        <f>ROUND(+D87*$F$9,5)</f>
        <v>1199.99998</v>
      </c>
    </row>
    <row r="88" spans="2:9" s="65" customFormat="1" ht="9.75" customHeight="1">
      <c r="B88" s="143"/>
      <c r="C88" s="143"/>
      <c r="D88" s="397"/>
      <c r="E88" s="397"/>
      <c r="G88" s="443"/>
      <c r="H88" s="443"/>
      <c r="I88" s="443"/>
    </row>
    <row r="89" spans="2:7" s="81" customFormat="1" ht="15" customHeight="1">
      <c r="B89" s="620" t="s">
        <v>99</v>
      </c>
      <c r="C89" s="145"/>
      <c r="D89" s="649">
        <f>+D71+D75</f>
        <v>833814.99348</v>
      </c>
      <c r="E89" s="651">
        <f>+E71+E75</f>
        <v>3211021.5398799996</v>
      </c>
      <c r="G89" s="65"/>
    </row>
    <row r="90" spans="2:7" s="81" customFormat="1" ht="15" customHeight="1">
      <c r="B90" s="621"/>
      <c r="C90" s="146"/>
      <c r="D90" s="650"/>
      <c r="E90" s="650"/>
      <c r="G90" s="65"/>
    </row>
    <row r="91" spans="2:7" ht="7.5" customHeight="1">
      <c r="B91" s="147"/>
      <c r="C91" s="147"/>
      <c r="D91" s="97"/>
      <c r="E91" s="97"/>
      <c r="G91" s="65"/>
    </row>
    <row r="92" spans="4:7" ht="14.25">
      <c r="D92" s="434"/>
      <c r="E92" s="434"/>
      <c r="G92" s="65"/>
    </row>
    <row r="93" spans="4:7" ht="14.25">
      <c r="D93" s="246"/>
      <c r="G93" s="65"/>
    </row>
    <row r="94" spans="4:7" ht="14.25">
      <c r="D94" s="98"/>
      <c r="E94" s="98"/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  <row r="100" ht="14.25">
      <c r="G100" s="65"/>
    </row>
  </sheetData>
  <sheetProtection/>
  <mergeCells count="20">
    <mergeCell ref="B1:E1"/>
    <mergeCell ref="B2:E2"/>
    <mergeCell ref="B3:E3"/>
    <mergeCell ref="B4:E4"/>
    <mergeCell ref="E11:E12"/>
    <mergeCell ref="B89:B90"/>
    <mergeCell ref="D89:D90"/>
    <mergeCell ref="E89:E90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4 E8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2" t="s">
        <v>16</v>
      </c>
      <c r="C5" s="372"/>
      <c r="D5" s="372"/>
      <c r="P5" s="195"/>
    </row>
    <row r="6" spans="2:16" ht="18">
      <c r="B6" s="373" t="s">
        <v>135</v>
      </c>
      <c r="C6" s="373"/>
      <c r="D6" s="373"/>
      <c r="P6" s="195"/>
    </row>
    <row r="7" spans="2:16" ht="18">
      <c r="B7" s="373" t="s">
        <v>134</v>
      </c>
      <c r="C7" s="373"/>
      <c r="D7" s="373"/>
      <c r="E7" s="295"/>
      <c r="P7" s="195"/>
    </row>
    <row r="8" spans="2:16" ht="16.5">
      <c r="B8" s="377" t="s">
        <v>58</v>
      </c>
      <c r="C8" s="374"/>
      <c r="D8" s="374"/>
      <c r="P8" s="195"/>
    </row>
    <row r="9" spans="2:16" ht="15.75">
      <c r="B9" s="375" t="str">
        <f>+'DEP-C2'!B9</f>
        <v>Al 31 de enero de 2023</v>
      </c>
      <c r="C9" s="375"/>
      <c r="D9" s="296"/>
      <c r="E9" s="376">
        <f>+Portada!H39</f>
        <v>3.851</v>
      </c>
      <c r="P9" s="195"/>
    </row>
    <row r="10" spans="2:16" s="77" customFormat="1" ht="9.75" customHeight="1">
      <c r="B10" s="561"/>
      <c r="C10" s="561"/>
      <c r="D10" s="561"/>
      <c r="E10" s="211"/>
      <c r="P10" s="196"/>
    </row>
    <row r="11" spans="2:16" ht="16.5" customHeight="1">
      <c r="B11" s="572" t="s">
        <v>96</v>
      </c>
      <c r="C11" s="654" t="s">
        <v>86</v>
      </c>
      <c r="D11" s="656" t="s">
        <v>163</v>
      </c>
      <c r="P11" s="195"/>
    </row>
    <row r="12" spans="2:16" s="111" customFormat="1" ht="16.5" customHeight="1">
      <c r="B12" s="573"/>
      <c r="C12" s="655"/>
      <c r="D12" s="657"/>
      <c r="E12" s="212"/>
      <c r="P12" s="197"/>
    </row>
    <row r="13" spans="2:16" s="111" customFormat="1" ht="9.75" customHeight="1">
      <c r="B13" s="149"/>
      <c r="C13" s="525"/>
      <c r="D13" s="112"/>
      <c r="E13" s="212"/>
      <c r="P13" s="197"/>
    </row>
    <row r="14" spans="2:16" s="77" customFormat="1" ht="19.5" customHeight="1">
      <c r="B14" s="79" t="s">
        <v>198</v>
      </c>
      <c r="C14" s="532">
        <f>+C16+C33</f>
        <v>8184265.138589999</v>
      </c>
      <c r="D14" s="466">
        <f>+D16+D33</f>
        <v>31517605.048699997</v>
      </c>
      <c r="E14" s="247"/>
      <c r="F14" s="384"/>
      <c r="G14" s="297"/>
      <c r="H14" s="297"/>
      <c r="P14" s="196"/>
    </row>
    <row r="15" spans="2:16" s="77" customFormat="1" ht="9.75" customHeight="1">
      <c r="B15" s="79"/>
      <c r="C15" s="533"/>
      <c r="D15" s="466"/>
      <c r="E15" s="247"/>
      <c r="F15" s="385"/>
      <c r="G15" s="297"/>
      <c r="H15" s="297"/>
      <c r="P15" s="196"/>
    </row>
    <row r="16" spans="2:16" s="77" customFormat="1" ht="16.5" customHeight="1">
      <c r="B16" s="78" t="s">
        <v>65</v>
      </c>
      <c r="C16" s="533">
        <f>SUM(C17:C31)</f>
        <v>4346814.026609997</v>
      </c>
      <c r="D16" s="469">
        <f>SUM(D17:D31)</f>
        <v>16739580.816459998</v>
      </c>
      <c r="E16" s="457"/>
      <c r="F16" s="457"/>
      <c r="P16" s="196"/>
    </row>
    <row r="17" spans="2:16" s="77" customFormat="1" ht="16.5" customHeight="1">
      <c r="B17" s="378" t="s">
        <v>197</v>
      </c>
      <c r="C17" s="488">
        <v>4155555.5555399996</v>
      </c>
      <c r="D17" s="381">
        <f>ROUND(+C17*$E$9,5)</f>
        <v>16003044.44438</v>
      </c>
      <c r="E17" s="457"/>
      <c r="F17" s="457"/>
      <c r="P17" s="196"/>
    </row>
    <row r="18" spans="2:16" s="77" customFormat="1" ht="16.5" customHeight="1">
      <c r="B18" s="378" t="s">
        <v>205</v>
      </c>
      <c r="C18" s="488">
        <v>91646.13603</v>
      </c>
      <c r="D18" s="381">
        <f>ROUND(+C18*$E$9,5)</f>
        <v>352929.26985</v>
      </c>
      <c r="E18" s="457"/>
      <c r="F18" s="457"/>
      <c r="P18" s="196"/>
    </row>
    <row r="19" spans="2:16" s="77" customFormat="1" ht="16.5" customHeight="1">
      <c r="B19" s="378" t="s">
        <v>196</v>
      </c>
      <c r="C19" s="488">
        <v>31654.72275</v>
      </c>
      <c r="D19" s="381">
        <f>ROUND(+C19*$E$9,5)</f>
        <v>121902.33731</v>
      </c>
      <c r="E19" s="457"/>
      <c r="F19" s="457"/>
      <c r="P19" s="196"/>
    </row>
    <row r="20" spans="2:16" s="77" customFormat="1" ht="16.5" customHeight="1">
      <c r="B20" s="378" t="s">
        <v>167</v>
      </c>
      <c r="C20" s="488">
        <v>14283.388729999999</v>
      </c>
      <c r="D20" s="381">
        <f>ROUND(+C20*$E$9,5)</f>
        <v>55005.33</v>
      </c>
      <c r="E20" s="457"/>
      <c r="F20" s="457"/>
      <c r="P20" s="196"/>
    </row>
    <row r="21" spans="2:16" s="77" customFormat="1" ht="16.5" customHeight="1">
      <c r="B21" s="378" t="s">
        <v>193</v>
      </c>
      <c r="C21" s="488">
        <v>11875.98442</v>
      </c>
      <c r="D21" s="381">
        <f>ROUND(+C21*$E$9,5)</f>
        <v>45734.416</v>
      </c>
      <c r="E21" s="457"/>
      <c r="F21" s="457"/>
      <c r="P21" s="196"/>
    </row>
    <row r="22" spans="2:16" s="77" customFormat="1" ht="16.5" customHeight="1">
      <c r="B22" s="378" t="s">
        <v>166</v>
      </c>
      <c r="C22" s="488">
        <v>10183.14894</v>
      </c>
      <c r="D22" s="381">
        <f>ROUND(+C22*$E$9,5)</f>
        <v>39215.30657</v>
      </c>
      <c r="E22" s="457"/>
      <c r="F22" s="457"/>
      <c r="P22" s="196"/>
    </row>
    <row r="23" spans="2:16" s="77" customFormat="1" ht="16.5" customHeight="1">
      <c r="B23" s="378" t="s">
        <v>192</v>
      </c>
      <c r="C23" s="488">
        <v>9312.14554</v>
      </c>
      <c r="D23" s="381">
        <f aca="true" t="shared" si="0" ref="D23:D31">ROUND(+C23*$E$9,5)</f>
        <v>35861.07247</v>
      </c>
      <c r="E23" s="457"/>
      <c r="F23" s="457"/>
      <c r="P23" s="196"/>
    </row>
    <row r="24" spans="2:16" s="77" customFormat="1" ht="16.5" customHeight="1">
      <c r="B24" s="378" t="s">
        <v>204</v>
      </c>
      <c r="C24" s="488">
        <v>4917.33104</v>
      </c>
      <c r="D24" s="381">
        <f t="shared" si="0"/>
        <v>18936.64184</v>
      </c>
      <c r="E24" s="457"/>
      <c r="F24" s="457"/>
      <c r="P24" s="196"/>
    </row>
    <row r="25" spans="2:16" s="77" customFormat="1" ht="16.5" customHeight="1">
      <c r="B25" s="378" t="s">
        <v>194</v>
      </c>
      <c r="C25" s="488">
        <v>4473.44078</v>
      </c>
      <c r="D25" s="381">
        <f t="shared" si="0"/>
        <v>17227.22044</v>
      </c>
      <c r="E25" s="457"/>
      <c r="F25" s="457"/>
      <c r="P25" s="196"/>
    </row>
    <row r="26" spans="2:16" s="77" customFormat="1" ht="16.5" customHeight="1">
      <c r="B26" s="378" t="s">
        <v>254</v>
      </c>
      <c r="C26" s="488">
        <v>3895.09218</v>
      </c>
      <c r="D26" s="381">
        <f t="shared" si="0"/>
        <v>14999.99999</v>
      </c>
      <c r="E26" s="457"/>
      <c r="F26" s="457"/>
      <c r="P26" s="196"/>
    </row>
    <row r="27" spans="2:16" s="77" customFormat="1" ht="16.5" customHeight="1">
      <c r="B27" s="378" t="s">
        <v>233</v>
      </c>
      <c r="C27" s="488">
        <v>3644.6934</v>
      </c>
      <c r="D27" s="381">
        <f t="shared" si="0"/>
        <v>14035.71428</v>
      </c>
      <c r="E27" s="457"/>
      <c r="F27" s="457"/>
      <c r="P27" s="196"/>
    </row>
    <row r="28" spans="2:16" s="77" customFormat="1" ht="16.5" customHeight="1">
      <c r="B28" s="378" t="s">
        <v>195</v>
      </c>
      <c r="C28" s="488">
        <v>2833.19356</v>
      </c>
      <c r="D28" s="381">
        <f t="shared" si="0"/>
        <v>10910.6284</v>
      </c>
      <c r="E28" s="457"/>
      <c r="F28" s="457"/>
      <c r="P28" s="196"/>
    </row>
    <row r="29" spans="2:16" s="77" customFormat="1" ht="16.5" customHeight="1">
      <c r="B29" s="378" t="s">
        <v>48</v>
      </c>
      <c r="C29" s="488">
        <v>1950.69247</v>
      </c>
      <c r="D29" s="381">
        <f t="shared" si="0"/>
        <v>7512.1167</v>
      </c>
      <c r="E29" s="457"/>
      <c r="F29" s="457"/>
      <c r="P29" s="196"/>
    </row>
    <row r="30" spans="2:16" s="77" customFormat="1" ht="16.5" customHeight="1">
      <c r="B30" s="378" t="s">
        <v>246</v>
      </c>
      <c r="C30" s="488">
        <v>519.3456199999999</v>
      </c>
      <c r="D30" s="381">
        <f>ROUND(+C30*$E$9,5)</f>
        <v>1999.99998</v>
      </c>
      <c r="E30" s="457"/>
      <c r="F30" s="457"/>
      <c r="P30" s="196"/>
    </row>
    <row r="31" spans="2:16" s="77" customFormat="1" ht="16.5" customHeight="1">
      <c r="B31" s="378" t="s">
        <v>228</v>
      </c>
      <c r="C31" s="488">
        <v>69.15561</v>
      </c>
      <c r="D31" s="381">
        <f t="shared" si="0"/>
        <v>266.31825</v>
      </c>
      <c r="E31" s="457"/>
      <c r="F31" s="457"/>
      <c r="P31" s="196"/>
    </row>
    <row r="32" spans="2:16" s="77" customFormat="1" ht="12" customHeight="1">
      <c r="B32" s="299"/>
      <c r="C32" s="534"/>
      <c r="D32" s="530"/>
      <c r="E32" s="457"/>
      <c r="F32" s="457"/>
      <c r="P32" s="196"/>
    </row>
    <row r="33" spans="2:16" s="77" customFormat="1" ht="16.5" customHeight="1">
      <c r="B33" s="78" t="s">
        <v>25</v>
      </c>
      <c r="C33" s="533">
        <f>SUM(C34:C36)</f>
        <v>3837451.111980002</v>
      </c>
      <c r="D33" s="469">
        <f>+SUM(D34:D36)</f>
        <v>14778024.23224</v>
      </c>
      <c r="E33" s="457"/>
      <c r="F33" s="457"/>
      <c r="P33" s="196"/>
    </row>
    <row r="34" spans="2:16" s="77" customFormat="1" ht="16.5" customHeight="1">
      <c r="B34" s="378" t="s">
        <v>206</v>
      </c>
      <c r="C34" s="488">
        <v>2098707.2731000013</v>
      </c>
      <c r="D34" s="468">
        <f>ROUND(+C34*$E$9,5)</f>
        <v>8082121.70871</v>
      </c>
      <c r="E34" s="457"/>
      <c r="F34" s="457"/>
      <c r="P34" s="196"/>
    </row>
    <row r="35" spans="2:16" s="77" customFormat="1" ht="16.5" customHeight="1">
      <c r="B35" s="379" t="s">
        <v>168</v>
      </c>
      <c r="C35" s="488">
        <v>1724498.9302900005</v>
      </c>
      <c r="D35" s="468">
        <f>ROUND(+C35*$E$9,5)</f>
        <v>6641045.38055</v>
      </c>
      <c r="E35" s="247"/>
      <c r="F35" s="386"/>
      <c r="P35" s="196"/>
    </row>
    <row r="36" spans="2:16" s="77" customFormat="1" ht="16.5" customHeight="1">
      <c r="B36" s="378" t="s">
        <v>123</v>
      </c>
      <c r="C36" s="488">
        <v>14244.908590000001</v>
      </c>
      <c r="D36" s="468">
        <f>ROUND(+C36*$E$9,5)</f>
        <v>54857.14298</v>
      </c>
      <c r="E36" s="247"/>
      <c r="F36" s="386"/>
      <c r="P36" s="196"/>
    </row>
    <row r="37" spans="2:16" s="77" customFormat="1" ht="15" customHeight="1">
      <c r="B37" s="299"/>
      <c r="C37" s="535"/>
      <c r="D37" s="531"/>
      <c r="E37" s="247"/>
      <c r="F37" s="386"/>
      <c r="P37" s="196"/>
    </row>
    <row r="38" spans="2:16" s="77" customFormat="1" ht="19.5" customHeight="1">
      <c r="B38" s="79" t="s">
        <v>199</v>
      </c>
      <c r="C38" s="532">
        <f>+C40+C52</f>
        <v>331963.2878000001</v>
      </c>
      <c r="D38" s="466">
        <f>+D40+D52</f>
        <v>1278390.6213199997</v>
      </c>
      <c r="E38" s="247"/>
      <c r="F38" s="386"/>
      <c r="P38" s="196"/>
    </row>
    <row r="39" spans="2:16" s="77" customFormat="1" ht="9.75" customHeight="1">
      <c r="B39" s="79"/>
      <c r="C39" s="532"/>
      <c r="D39" s="466"/>
      <c r="E39" s="247"/>
      <c r="F39" s="386"/>
      <c r="P39" s="196"/>
    </row>
    <row r="40" spans="2:16" s="77" customFormat="1" ht="16.5" customHeight="1">
      <c r="B40" s="78" t="s">
        <v>24</v>
      </c>
      <c r="C40" s="533">
        <f>SUM(C41:C50)</f>
        <v>308823.2325600001</v>
      </c>
      <c r="D40" s="469">
        <f>SUM(D41:D50)</f>
        <v>1189278.2685899998</v>
      </c>
      <c r="E40" s="247"/>
      <c r="F40" s="247"/>
      <c r="P40" s="196"/>
    </row>
    <row r="41" spans="2:16" s="77" customFormat="1" ht="16.5" customHeight="1">
      <c r="B41" s="378" t="s">
        <v>205</v>
      </c>
      <c r="C41" s="488">
        <v>297640.3716</v>
      </c>
      <c r="D41" s="468">
        <f aca="true" t="shared" si="1" ref="D41:D50">ROUND(+C41*$E$9,5)</f>
        <v>1146213.07103</v>
      </c>
      <c r="E41" s="247"/>
      <c r="F41" s="247"/>
      <c r="P41" s="196"/>
    </row>
    <row r="42" spans="2:16" s="77" customFormat="1" ht="16.5" customHeight="1">
      <c r="B42" s="343" t="s">
        <v>202</v>
      </c>
      <c r="C42" s="488">
        <v>3153.45106</v>
      </c>
      <c r="D42" s="468">
        <f t="shared" si="1"/>
        <v>12143.94003</v>
      </c>
      <c r="E42" s="247"/>
      <c r="F42" s="247"/>
      <c r="P42" s="196"/>
    </row>
    <row r="43" spans="2:16" s="77" customFormat="1" ht="16.5" customHeight="1">
      <c r="B43" s="343" t="s">
        <v>68</v>
      </c>
      <c r="C43" s="488">
        <v>2875.54518</v>
      </c>
      <c r="D43" s="468">
        <f t="shared" si="1"/>
        <v>11073.72449</v>
      </c>
      <c r="E43" s="247"/>
      <c r="F43" s="247"/>
      <c r="P43" s="196"/>
    </row>
    <row r="44" spans="2:16" s="77" customFormat="1" ht="16.5" customHeight="1">
      <c r="B44" s="343" t="s">
        <v>43</v>
      </c>
      <c r="C44" s="488">
        <v>1788.63971</v>
      </c>
      <c r="D44" s="468">
        <f t="shared" si="1"/>
        <v>6888.05152</v>
      </c>
      <c r="E44" s="247"/>
      <c r="F44" s="247"/>
      <c r="P44" s="196"/>
    </row>
    <row r="45" spans="2:16" s="77" customFormat="1" ht="16.5" customHeight="1">
      <c r="B45" s="343" t="s">
        <v>50</v>
      </c>
      <c r="C45" s="488">
        <v>1166.93281</v>
      </c>
      <c r="D45" s="468">
        <f t="shared" si="1"/>
        <v>4493.85825</v>
      </c>
      <c r="E45" s="247"/>
      <c r="F45" s="247"/>
      <c r="P45" s="196"/>
    </row>
    <row r="46" spans="2:16" s="77" customFormat="1" ht="16.5" customHeight="1">
      <c r="B46" s="343" t="s">
        <v>157</v>
      </c>
      <c r="C46" s="488">
        <v>936.32262</v>
      </c>
      <c r="D46" s="468">
        <f t="shared" si="1"/>
        <v>3605.77841</v>
      </c>
      <c r="E46" s="247"/>
      <c r="F46" s="247"/>
      <c r="P46" s="196"/>
    </row>
    <row r="47" spans="2:16" s="77" customFormat="1" ht="16.5" customHeight="1">
      <c r="B47" s="343" t="s">
        <v>203</v>
      </c>
      <c r="C47" s="488">
        <v>438.66758000000004</v>
      </c>
      <c r="D47" s="468">
        <f t="shared" si="1"/>
        <v>1689.30885</v>
      </c>
      <c r="E47" s="247"/>
      <c r="F47" s="247"/>
      <c r="P47" s="196"/>
    </row>
    <row r="48" spans="2:16" s="77" customFormat="1" ht="16.5" customHeight="1">
      <c r="B48" s="343" t="s">
        <v>224</v>
      </c>
      <c r="C48" s="488">
        <v>397.82976</v>
      </c>
      <c r="D48" s="468">
        <f t="shared" si="1"/>
        <v>1532.04241</v>
      </c>
      <c r="E48" s="247"/>
      <c r="F48" s="247"/>
      <c r="P48" s="196"/>
    </row>
    <row r="49" spans="2:16" s="77" customFormat="1" ht="16.5" customHeight="1">
      <c r="B49" s="343" t="s">
        <v>42</v>
      </c>
      <c r="C49" s="488">
        <v>366.09155</v>
      </c>
      <c r="D49" s="468">
        <f t="shared" si="1"/>
        <v>1409.81856</v>
      </c>
      <c r="E49" s="247"/>
      <c r="F49" s="247"/>
      <c r="P49" s="196"/>
    </row>
    <row r="50" spans="2:16" s="77" customFormat="1" ht="16.5" customHeight="1">
      <c r="B50" s="343" t="s">
        <v>204</v>
      </c>
      <c r="C50" s="488">
        <v>59.38069</v>
      </c>
      <c r="D50" s="468">
        <f t="shared" si="1"/>
        <v>228.67504</v>
      </c>
      <c r="E50" s="247"/>
      <c r="F50" s="247"/>
      <c r="P50" s="196"/>
    </row>
    <row r="51" spans="2:16" s="77" customFormat="1" ht="12" customHeight="1">
      <c r="B51" s="387"/>
      <c r="C51" s="534"/>
      <c r="D51" s="530"/>
      <c r="E51" s="247"/>
      <c r="F51" s="247"/>
      <c r="G51" s="445"/>
      <c r="P51" s="196"/>
    </row>
    <row r="52" spans="2:16" s="77" customFormat="1" ht="16.5" customHeight="1">
      <c r="B52" s="78" t="s">
        <v>25</v>
      </c>
      <c r="C52" s="533">
        <f>+C53</f>
        <v>23140.055239999998</v>
      </c>
      <c r="D52" s="469">
        <f>+D53</f>
        <v>89112.35273</v>
      </c>
      <c r="E52" s="247"/>
      <c r="F52" s="444"/>
      <c r="P52" s="196"/>
    </row>
    <row r="53" spans="2:16" s="77" customFormat="1" ht="16.5" customHeight="1">
      <c r="B53" s="379" t="s">
        <v>206</v>
      </c>
      <c r="C53" s="488">
        <v>23140.055239999998</v>
      </c>
      <c r="D53" s="468">
        <f>ROUND(+C53*$E$9,5)</f>
        <v>89112.35273</v>
      </c>
      <c r="E53" s="247"/>
      <c r="F53" s="386"/>
      <c r="P53" s="196"/>
    </row>
    <row r="54" spans="2:16" s="77" customFormat="1" ht="9.75" customHeight="1">
      <c r="B54" s="76"/>
      <c r="C54" s="536"/>
      <c r="D54" s="467"/>
      <c r="E54" s="247"/>
      <c r="F54" s="386"/>
      <c r="P54" s="196"/>
    </row>
    <row r="55" spans="2:16" s="77" customFormat="1" ht="18" customHeight="1" hidden="1">
      <c r="B55" s="150"/>
      <c r="C55" s="381"/>
      <c r="D55" s="381"/>
      <c r="E55" s="247"/>
      <c r="F55" s="386"/>
      <c r="P55" s="196"/>
    </row>
    <row r="56" spans="2:16" s="77" customFormat="1" ht="21.75" customHeight="1" hidden="1">
      <c r="B56" s="79" t="s">
        <v>111</v>
      </c>
      <c r="C56" s="502">
        <f>+C57</f>
        <v>0</v>
      </c>
      <c r="D56" s="502">
        <f>+D57</f>
        <v>0</v>
      </c>
      <c r="E56" s="247"/>
      <c r="F56" s="386"/>
      <c r="H56" s="300"/>
      <c r="P56" s="196"/>
    </row>
    <row r="57" spans="2:16" s="77" customFormat="1" ht="21.75" customHeight="1" hidden="1">
      <c r="B57" s="76" t="s">
        <v>65</v>
      </c>
      <c r="C57" s="388">
        <f>+C58</f>
        <v>0</v>
      </c>
      <c r="D57" s="388">
        <f>+D58</f>
        <v>0</v>
      </c>
      <c r="E57" s="247"/>
      <c r="F57" s="386"/>
      <c r="H57" s="300"/>
      <c r="P57" s="196"/>
    </row>
    <row r="58" spans="2:16" s="77" customFormat="1" ht="21.75" customHeight="1" hidden="1">
      <c r="B58" s="298" t="s">
        <v>108</v>
      </c>
      <c r="C58" s="383">
        <v>0</v>
      </c>
      <c r="D58" s="383">
        <f>+C58*$E$9</f>
        <v>0</v>
      </c>
      <c r="E58" s="247"/>
      <c r="F58" s="386"/>
      <c r="H58" s="300"/>
      <c r="P58" s="196"/>
    </row>
    <row r="59" spans="2:16" s="77" customFormat="1" ht="19.5" customHeight="1" hidden="1">
      <c r="B59" s="150"/>
      <c r="C59" s="381"/>
      <c r="D59" s="381"/>
      <c r="E59" s="247"/>
      <c r="F59" s="386"/>
      <c r="P59" s="196"/>
    </row>
    <row r="60" spans="2:16" s="77" customFormat="1" ht="21.75" customHeight="1" hidden="1">
      <c r="B60" s="79" t="s">
        <v>137</v>
      </c>
      <c r="C60" s="502">
        <f>+C61+C85</f>
        <v>0</v>
      </c>
      <c r="D60" s="502">
        <f>+D61+D85</f>
        <v>0</v>
      </c>
      <c r="E60" s="247"/>
      <c r="F60" s="386"/>
      <c r="P60" s="196"/>
    </row>
    <row r="61" spans="2:16" s="77" customFormat="1" ht="21.75" customHeight="1" hidden="1">
      <c r="B61" s="78" t="s">
        <v>24</v>
      </c>
      <c r="C61" s="380">
        <f>SUM(C62:C83)</f>
        <v>0</v>
      </c>
      <c r="D61" s="380">
        <f>SUM(D62:D83)</f>
        <v>0</v>
      </c>
      <c r="E61" s="247"/>
      <c r="F61" s="386"/>
      <c r="P61" s="196"/>
    </row>
    <row r="62" spans="2:16" s="77" customFormat="1" ht="21.75" customHeight="1" hidden="1">
      <c r="B62" s="298" t="s">
        <v>107</v>
      </c>
      <c r="C62" s="383"/>
      <c r="D62" s="383">
        <f aca="true" t="shared" si="2" ref="D62:D83">+C62*$E$9</f>
        <v>0</v>
      </c>
      <c r="E62" s="247"/>
      <c r="F62" s="386"/>
      <c r="P62" s="196"/>
    </row>
    <row r="63" spans="2:16" s="77" customFormat="1" ht="21.75" customHeight="1" hidden="1">
      <c r="B63" s="298" t="s">
        <v>38</v>
      </c>
      <c r="C63" s="383"/>
      <c r="D63" s="383">
        <f t="shared" si="2"/>
        <v>0</v>
      </c>
      <c r="E63" s="247"/>
      <c r="F63" s="386"/>
      <c r="P63" s="196"/>
    </row>
    <row r="64" spans="2:16" s="77" customFormat="1" ht="21.75" customHeight="1" hidden="1">
      <c r="B64" s="298" t="s">
        <v>39</v>
      </c>
      <c r="C64" s="383"/>
      <c r="D64" s="383">
        <f t="shared" si="2"/>
        <v>0</v>
      </c>
      <c r="E64" s="247"/>
      <c r="F64" s="386"/>
      <c r="P64" s="196"/>
    </row>
    <row r="65" spans="2:16" s="77" customFormat="1" ht="21.75" customHeight="1" hidden="1">
      <c r="B65" s="298" t="s">
        <v>41</v>
      </c>
      <c r="C65" s="383"/>
      <c r="D65" s="383">
        <f t="shared" si="2"/>
        <v>0</v>
      </c>
      <c r="E65" s="247"/>
      <c r="F65" s="386"/>
      <c r="P65" s="196"/>
    </row>
    <row r="66" spans="2:16" s="77" customFormat="1" ht="21.75" customHeight="1" hidden="1">
      <c r="B66" s="298" t="s">
        <v>144</v>
      </c>
      <c r="C66" s="383"/>
      <c r="D66" s="383">
        <f t="shared" si="2"/>
        <v>0</v>
      </c>
      <c r="E66" s="247"/>
      <c r="F66" s="386"/>
      <c r="P66" s="196"/>
    </row>
    <row r="67" spans="2:16" s="77" customFormat="1" ht="21.75" customHeight="1" hidden="1">
      <c r="B67" s="298" t="s">
        <v>40</v>
      </c>
      <c r="C67" s="383"/>
      <c r="D67" s="383">
        <f t="shared" si="2"/>
        <v>0</v>
      </c>
      <c r="E67" s="247"/>
      <c r="F67" s="386"/>
      <c r="P67" s="196"/>
    </row>
    <row r="68" spans="2:16" s="77" customFormat="1" ht="21.75" customHeight="1" hidden="1">
      <c r="B68" s="298" t="s">
        <v>44</v>
      </c>
      <c r="C68" s="383"/>
      <c r="D68" s="383">
        <f t="shared" si="2"/>
        <v>0</v>
      </c>
      <c r="E68" s="247"/>
      <c r="F68" s="386"/>
      <c r="P68" s="196"/>
    </row>
    <row r="69" spans="2:16" s="77" customFormat="1" ht="21.75" customHeight="1" hidden="1">
      <c r="B69" s="298" t="s">
        <v>68</v>
      </c>
      <c r="C69" s="383"/>
      <c r="D69" s="383">
        <f t="shared" si="2"/>
        <v>0</v>
      </c>
      <c r="E69" s="247"/>
      <c r="F69" s="386"/>
      <c r="P69" s="196"/>
    </row>
    <row r="70" spans="2:16" s="77" customFormat="1" ht="21.75" customHeight="1" hidden="1">
      <c r="B70" s="298" t="s">
        <v>46</v>
      </c>
      <c r="C70" s="383"/>
      <c r="D70" s="383">
        <f t="shared" si="2"/>
        <v>0</v>
      </c>
      <c r="E70" s="247"/>
      <c r="F70" s="386"/>
      <c r="P70" s="196"/>
    </row>
    <row r="71" spans="2:16" s="77" customFormat="1" ht="21.75" customHeight="1" hidden="1">
      <c r="B71" s="298" t="s">
        <v>42</v>
      </c>
      <c r="C71" s="383"/>
      <c r="D71" s="383">
        <f t="shared" si="2"/>
        <v>0</v>
      </c>
      <c r="E71" s="247"/>
      <c r="F71" s="386"/>
      <c r="P71" s="196"/>
    </row>
    <row r="72" spans="2:16" s="77" customFormat="1" ht="21.75" customHeight="1" hidden="1">
      <c r="B72" s="298" t="s">
        <v>43</v>
      </c>
      <c r="C72" s="383"/>
      <c r="D72" s="383">
        <f t="shared" si="2"/>
        <v>0</v>
      </c>
      <c r="E72" s="247"/>
      <c r="F72" s="386"/>
      <c r="P72" s="196"/>
    </row>
    <row r="73" spans="2:16" s="77" customFormat="1" ht="21.75" customHeight="1" hidden="1">
      <c r="B73" s="298" t="s">
        <v>47</v>
      </c>
      <c r="C73" s="383"/>
      <c r="D73" s="383">
        <f t="shared" si="2"/>
        <v>0</v>
      </c>
      <c r="E73" s="247"/>
      <c r="F73" s="386"/>
      <c r="P73" s="196"/>
    </row>
    <row r="74" spans="2:16" s="77" customFormat="1" ht="21.75" customHeight="1" hidden="1">
      <c r="B74" s="298" t="s">
        <v>50</v>
      </c>
      <c r="C74" s="383"/>
      <c r="D74" s="383">
        <f t="shared" si="2"/>
        <v>0</v>
      </c>
      <c r="E74" s="247"/>
      <c r="F74" s="386"/>
      <c r="P74" s="196"/>
    </row>
    <row r="75" spans="2:16" s="77" customFormat="1" ht="21.75" customHeight="1" hidden="1">
      <c r="B75" s="298" t="s">
        <v>157</v>
      </c>
      <c r="C75" s="383"/>
      <c r="D75" s="383">
        <f t="shared" si="2"/>
        <v>0</v>
      </c>
      <c r="E75" s="247"/>
      <c r="F75" s="386"/>
      <c r="P75" s="196"/>
    </row>
    <row r="76" spans="2:16" s="77" customFormat="1" ht="21.75" customHeight="1" hidden="1">
      <c r="B76" s="298" t="s">
        <v>52</v>
      </c>
      <c r="C76" s="383"/>
      <c r="D76" s="383">
        <f t="shared" si="2"/>
        <v>0</v>
      </c>
      <c r="E76" s="247"/>
      <c r="F76" s="386"/>
      <c r="P76" s="196"/>
    </row>
    <row r="77" spans="2:16" s="77" customFormat="1" ht="21.75" customHeight="1" hidden="1">
      <c r="B77" s="298" t="s">
        <v>54</v>
      </c>
      <c r="C77" s="383"/>
      <c r="D77" s="383">
        <f t="shared" si="2"/>
        <v>0</v>
      </c>
      <c r="E77" s="247"/>
      <c r="F77" s="386"/>
      <c r="P77" s="196"/>
    </row>
    <row r="78" spans="2:16" s="77" customFormat="1" ht="21.75" customHeight="1" hidden="1">
      <c r="B78" s="298" t="s">
        <v>45</v>
      </c>
      <c r="C78" s="383"/>
      <c r="D78" s="383">
        <f t="shared" si="2"/>
        <v>0</v>
      </c>
      <c r="E78" s="247"/>
      <c r="F78" s="386"/>
      <c r="P78" s="196"/>
    </row>
    <row r="79" spans="2:16" s="77" customFormat="1" ht="21.75" customHeight="1" hidden="1">
      <c r="B79" s="298" t="s">
        <v>49</v>
      </c>
      <c r="C79" s="383"/>
      <c r="D79" s="383">
        <f t="shared" si="2"/>
        <v>0</v>
      </c>
      <c r="E79" s="247"/>
      <c r="F79" s="386"/>
      <c r="P79" s="196"/>
    </row>
    <row r="80" spans="2:16" s="77" customFormat="1" ht="21.75" customHeight="1" hidden="1">
      <c r="B80" s="298" t="s">
        <v>56</v>
      </c>
      <c r="C80" s="383"/>
      <c r="D80" s="383">
        <f t="shared" si="2"/>
        <v>0</v>
      </c>
      <c r="E80" s="247"/>
      <c r="F80" s="386"/>
      <c r="P80" s="196"/>
    </row>
    <row r="81" spans="2:16" s="77" customFormat="1" ht="21.75" customHeight="1" hidden="1">
      <c r="B81" s="298" t="s">
        <v>51</v>
      </c>
      <c r="C81" s="383"/>
      <c r="D81" s="383">
        <f t="shared" si="2"/>
        <v>0</v>
      </c>
      <c r="E81" s="247"/>
      <c r="F81" s="386"/>
      <c r="P81" s="196"/>
    </row>
    <row r="82" spans="2:16" s="77" customFormat="1" ht="21.75" customHeight="1" hidden="1">
      <c r="B82" s="298" t="s">
        <v>53</v>
      </c>
      <c r="C82" s="383"/>
      <c r="D82" s="383">
        <f t="shared" si="2"/>
        <v>0</v>
      </c>
      <c r="E82" s="247"/>
      <c r="F82" s="386"/>
      <c r="P82" s="196"/>
    </row>
    <row r="83" spans="2:16" s="77" customFormat="1" ht="21.75" customHeight="1" hidden="1">
      <c r="B83" s="298" t="s">
        <v>55</v>
      </c>
      <c r="C83" s="383"/>
      <c r="D83" s="383">
        <f t="shared" si="2"/>
        <v>0</v>
      </c>
      <c r="E83" s="247"/>
      <c r="F83" s="386"/>
      <c r="P83" s="196"/>
    </row>
    <row r="84" spans="2:16" s="77" customFormat="1" ht="9.75" customHeight="1" hidden="1">
      <c r="B84" s="76"/>
      <c r="C84" s="388"/>
      <c r="D84" s="388"/>
      <c r="E84" s="247"/>
      <c r="F84" s="386"/>
      <c r="P84" s="196"/>
    </row>
    <row r="85" spans="2:16" s="77" customFormat="1" ht="21.75" customHeight="1" hidden="1">
      <c r="B85" s="78" t="s">
        <v>25</v>
      </c>
      <c r="C85" s="380">
        <f>+C86</f>
        <v>0</v>
      </c>
      <c r="D85" s="380">
        <f>+D86</f>
        <v>0</v>
      </c>
      <c r="E85" s="247"/>
      <c r="F85" s="386"/>
      <c r="P85" s="196"/>
    </row>
    <row r="86" spans="2:16" s="77" customFormat="1" ht="21.75" customHeight="1" hidden="1">
      <c r="B86" s="298" t="s">
        <v>106</v>
      </c>
      <c r="C86" s="383"/>
      <c r="D86" s="383">
        <f>+C86*$E$9</f>
        <v>0</v>
      </c>
      <c r="E86" s="247"/>
      <c r="F86" s="386"/>
      <c r="P86" s="196"/>
    </row>
    <row r="87" spans="2:16" s="77" customFormat="1" ht="4.5" customHeight="1">
      <c r="B87" s="150"/>
      <c r="C87" s="381"/>
      <c r="D87" s="381"/>
      <c r="E87" s="247"/>
      <c r="F87" s="386"/>
      <c r="P87" s="196"/>
    </row>
    <row r="88" spans="2:16" s="77" customFormat="1" ht="15" customHeight="1">
      <c r="B88" s="658" t="s">
        <v>28</v>
      </c>
      <c r="C88" s="615">
        <f>C14+C38</f>
        <v>8516228.42639</v>
      </c>
      <c r="D88" s="615">
        <f>+D14+D38</f>
        <v>32795995.670019995</v>
      </c>
      <c r="E88" s="247"/>
      <c r="F88" s="386"/>
      <c r="P88" s="196"/>
    </row>
    <row r="89" spans="2:16" s="111" customFormat="1" ht="15" customHeight="1">
      <c r="B89" s="659"/>
      <c r="C89" s="616"/>
      <c r="D89" s="616"/>
      <c r="E89" s="247"/>
      <c r="F89" s="386"/>
      <c r="G89" s="77"/>
      <c r="P89" s="197"/>
    </row>
    <row r="90" spans="2:16" s="77" customFormat="1" ht="7.5" customHeight="1">
      <c r="B90" s="151"/>
      <c r="C90" s="101"/>
      <c r="D90" s="101"/>
      <c r="E90" s="247"/>
      <c r="F90" s="386"/>
      <c r="P90" s="196"/>
    </row>
    <row r="91" spans="1:16" ht="14.25" customHeight="1">
      <c r="A91" s="301"/>
      <c r="B91" s="302" t="s">
        <v>200</v>
      </c>
      <c r="C91" s="313"/>
      <c r="D91" s="303"/>
      <c r="E91" s="247"/>
      <c r="F91" s="386"/>
      <c r="G91" s="77"/>
      <c r="P91" s="195"/>
    </row>
    <row r="92" spans="1:16" ht="14.25" customHeight="1">
      <c r="A92" s="301"/>
      <c r="B92" s="302" t="s">
        <v>201</v>
      </c>
      <c r="C92" s="304"/>
      <c r="D92" s="305"/>
      <c r="E92" s="247"/>
      <c r="F92" s="386"/>
      <c r="G92" s="77"/>
      <c r="P92" s="195"/>
    </row>
    <row r="93" spans="3:16" ht="14.25">
      <c r="C93" s="306"/>
      <c r="D93" s="307"/>
      <c r="E93" s="247"/>
      <c r="F93" s="386"/>
      <c r="G93" s="77"/>
      <c r="P93" s="195"/>
    </row>
    <row r="94" spans="3:16" ht="14.25">
      <c r="C94" s="309"/>
      <c r="D94" s="309"/>
      <c r="E94" s="247"/>
      <c r="F94" s="386"/>
      <c r="G94" s="310"/>
      <c r="H94" s="310"/>
      <c r="P94" s="195"/>
    </row>
    <row r="95" spans="3:16" ht="12.75">
      <c r="C95" s="311"/>
      <c r="D95" s="311"/>
      <c r="G95" s="310"/>
      <c r="H95" s="310"/>
      <c r="P95" s="195"/>
    </row>
    <row r="96" spans="3:16" ht="12.75">
      <c r="C96" s="312"/>
      <c r="D96" s="312"/>
      <c r="H96" s="308"/>
      <c r="P96" s="195"/>
    </row>
    <row r="97" spans="2:16" ht="18">
      <c r="B97" s="372" t="s">
        <v>121</v>
      </c>
      <c r="C97" s="372"/>
      <c r="D97" s="372"/>
      <c r="H97" s="308"/>
      <c r="P97" s="195"/>
    </row>
    <row r="98" spans="2:16" ht="18">
      <c r="B98" s="373" t="s">
        <v>135</v>
      </c>
      <c r="C98" s="373"/>
      <c r="D98" s="373"/>
      <c r="G98" s="310"/>
      <c r="P98" s="195"/>
    </row>
    <row r="99" spans="2:16" ht="18">
      <c r="B99" s="373" t="s">
        <v>136</v>
      </c>
      <c r="C99" s="373"/>
      <c r="D99" s="373"/>
      <c r="P99" s="195"/>
    </row>
    <row r="100" spans="2:16" ht="16.5">
      <c r="B100" s="377" t="s">
        <v>58</v>
      </c>
      <c r="C100" s="374"/>
      <c r="D100" s="374"/>
      <c r="P100" s="195"/>
    </row>
    <row r="101" spans="2:16" ht="15.75">
      <c r="B101" s="375" t="str">
        <f>+B9</f>
        <v>Al 31 de enero de 2023</v>
      </c>
      <c r="C101" s="375"/>
      <c r="D101" s="296"/>
      <c r="P101" s="195"/>
    </row>
    <row r="102" spans="2:16" s="77" customFormat="1" ht="6.75" customHeight="1">
      <c r="B102" s="561"/>
      <c r="C102" s="561"/>
      <c r="D102" s="561"/>
      <c r="E102" s="211"/>
      <c r="P102" s="196"/>
    </row>
    <row r="103" spans="2:16" ht="16.5" customHeight="1">
      <c r="B103" s="572" t="s">
        <v>96</v>
      </c>
      <c r="C103" s="654" t="s">
        <v>86</v>
      </c>
      <c r="D103" s="656" t="s">
        <v>163</v>
      </c>
      <c r="P103" s="195"/>
    </row>
    <row r="104" spans="2:16" s="111" customFormat="1" ht="16.5" customHeight="1">
      <c r="B104" s="573"/>
      <c r="C104" s="655"/>
      <c r="D104" s="657"/>
      <c r="E104" s="212"/>
      <c r="G104" s="314"/>
      <c r="P104" s="197"/>
    </row>
    <row r="105" spans="2:16" s="111" customFormat="1" ht="9.75" customHeight="1">
      <c r="B105" s="149"/>
      <c r="C105" s="525"/>
      <c r="D105" s="112"/>
      <c r="E105" s="212"/>
      <c r="G105" s="314"/>
      <c r="P105" s="197"/>
    </row>
    <row r="106" spans="2:16" s="77" customFormat="1" ht="19.5" customHeight="1">
      <c r="B106" s="79" t="s">
        <v>198</v>
      </c>
      <c r="C106" s="527">
        <f>+C108+C111</f>
        <v>833814.9934800001</v>
      </c>
      <c r="D106" s="502">
        <f>+D108+D111</f>
        <v>3211021.53989</v>
      </c>
      <c r="E106" s="211"/>
      <c r="G106" s="300"/>
      <c r="H106" s="300"/>
      <c r="P106" s="196"/>
    </row>
    <row r="107" spans="2:16" s="77" customFormat="1" ht="9.75" customHeight="1">
      <c r="B107" s="79"/>
      <c r="C107" s="527"/>
      <c r="D107" s="502"/>
      <c r="E107" s="211"/>
      <c r="G107" s="300"/>
      <c r="H107" s="300"/>
      <c r="P107" s="196"/>
    </row>
    <row r="108" spans="2:16" s="77" customFormat="1" ht="16.5" customHeight="1">
      <c r="B108" s="78" t="s">
        <v>25</v>
      </c>
      <c r="C108" s="380">
        <f>SUM(C109:C109)</f>
        <v>0</v>
      </c>
      <c r="D108" s="380">
        <f>SUM(D109:D109)</f>
        <v>0</v>
      </c>
      <c r="E108" s="211"/>
      <c r="G108" s="300"/>
      <c r="H108" s="300"/>
      <c r="P108" s="196"/>
    </row>
    <row r="109" spans="2:16" s="77" customFormat="1" ht="16.5" customHeight="1" hidden="1">
      <c r="B109" s="430"/>
      <c r="C109" s="488">
        <v>0</v>
      </c>
      <c r="D109" s="381">
        <f>ROUND(+C109*$E$9,5)</f>
        <v>0</v>
      </c>
      <c r="E109" s="211"/>
      <c r="G109" s="300"/>
      <c r="H109" s="300"/>
      <c r="P109" s="196"/>
    </row>
    <row r="110" spans="2:16" s="77" customFormat="1" ht="12" customHeight="1">
      <c r="B110" s="79"/>
      <c r="C110" s="527"/>
      <c r="D110" s="502"/>
      <c r="E110" s="211"/>
      <c r="G110" s="300"/>
      <c r="H110" s="300"/>
      <c r="P110" s="196"/>
    </row>
    <row r="111" spans="2:16" s="77" customFormat="1" ht="16.5" customHeight="1">
      <c r="B111" s="78" t="s">
        <v>24</v>
      </c>
      <c r="C111" s="380">
        <f>SUM(C112:C121)</f>
        <v>833814.9934800001</v>
      </c>
      <c r="D111" s="380">
        <f>SUM(D112:D121)</f>
        <v>3211021.53989</v>
      </c>
      <c r="E111" s="211"/>
      <c r="F111" s="211"/>
      <c r="G111" s="315"/>
      <c r="H111" s="315"/>
      <c r="P111" s="196"/>
    </row>
    <row r="112" spans="2:16" s="77" customFormat="1" ht="16.5" customHeight="1">
      <c r="B112" s="507" t="s">
        <v>245</v>
      </c>
      <c r="C112" s="488">
        <v>499999.97106999997</v>
      </c>
      <c r="D112" s="381">
        <f aca="true" t="shared" si="3" ref="D112:D121">ROUND(+C112*$E$9,5)</f>
        <v>1925499.88859</v>
      </c>
      <c r="E112" s="211"/>
      <c r="F112" s="211"/>
      <c r="G112" s="315"/>
      <c r="H112" s="315"/>
      <c r="P112" s="196"/>
    </row>
    <row r="113" spans="2:16" s="77" customFormat="1" ht="16.5" customHeight="1">
      <c r="B113" s="507" t="s">
        <v>238</v>
      </c>
      <c r="C113" s="488">
        <v>86027.85230000006</v>
      </c>
      <c r="D113" s="381">
        <f t="shared" si="3"/>
        <v>331293.25921</v>
      </c>
      <c r="E113" s="211"/>
      <c r="F113" s="211"/>
      <c r="G113" s="315"/>
      <c r="H113" s="315"/>
      <c r="P113" s="196"/>
    </row>
    <row r="114" spans="2:16" s="77" customFormat="1" ht="16.5" customHeight="1">
      <c r="B114" s="507" t="s">
        <v>248</v>
      </c>
      <c r="C114" s="488">
        <v>77352.07865000001</v>
      </c>
      <c r="D114" s="381">
        <f t="shared" si="3"/>
        <v>297882.85488</v>
      </c>
      <c r="E114" s="211"/>
      <c r="F114" s="211"/>
      <c r="G114" s="315"/>
      <c r="P114" s="196"/>
    </row>
    <row r="115" spans="2:16" s="77" customFormat="1" ht="16.5" customHeight="1">
      <c r="B115" s="507" t="s">
        <v>237</v>
      </c>
      <c r="C115" s="488">
        <v>58881.672679999996</v>
      </c>
      <c r="D115" s="381">
        <f t="shared" si="3"/>
        <v>226753.32149</v>
      </c>
      <c r="E115" s="211"/>
      <c r="F115" s="211"/>
      <c r="G115" s="315"/>
      <c r="P115" s="196"/>
    </row>
    <row r="116" spans="2:16" s="77" customFormat="1" ht="16.5" customHeight="1">
      <c r="B116" s="507" t="s">
        <v>239</v>
      </c>
      <c r="C116" s="488">
        <v>33711.18213</v>
      </c>
      <c r="D116" s="381">
        <f t="shared" si="3"/>
        <v>129821.76238</v>
      </c>
      <c r="E116" s="211"/>
      <c r="F116" s="211"/>
      <c r="G116" s="315"/>
      <c r="P116" s="196"/>
    </row>
    <row r="117" spans="2:16" s="77" customFormat="1" ht="16.5" customHeight="1">
      <c r="B117" s="378" t="s">
        <v>166</v>
      </c>
      <c r="C117" s="488">
        <v>27784.99091</v>
      </c>
      <c r="D117" s="381">
        <f t="shared" si="3"/>
        <v>106999.99999</v>
      </c>
      <c r="E117" s="211"/>
      <c r="F117" s="211"/>
      <c r="G117" s="315"/>
      <c r="P117" s="196"/>
    </row>
    <row r="118" spans="2:16" s="77" customFormat="1" ht="16.5" customHeight="1">
      <c r="B118" s="507" t="s">
        <v>240</v>
      </c>
      <c r="C118" s="488">
        <v>21610.16839</v>
      </c>
      <c r="D118" s="381">
        <f t="shared" si="3"/>
        <v>83220.75847</v>
      </c>
      <c r="E118" s="211"/>
      <c r="F118" s="211"/>
      <c r="G118" s="315"/>
      <c r="P118" s="196"/>
    </row>
    <row r="119" spans="2:16" s="77" customFormat="1" ht="16.5" customHeight="1">
      <c r="B119" s="507" t="s">
        <v>241</v>
      </c>
      <c r="C119" s="488">
        <v>20773.824979999998</v>
      </c>
      <c r="D119" s="381">
        <f t="shared" si="3"/>
        <v>80000</v>
      </c>
      <c r="E119" s="211"/>
      <c r="F119" s="211"/>
      <c r="G119" s="315"/>
      <c r="P119" s="196"/>
    </row>
    <row r="120" spans="2:16" s="77" customFormat="1" ht="16.5" customHeight="1">
      <c r="B120" s="507" t="s">
        <v>242</v>
      </c>
      <c r="C120" s="488">
        <v>7361.6449999999995</v>
      </c>
      <c r="D120" s="381">
        <f t="shared" si="3"/>
        <v>28349.6949</v>
      </c>
      <c r="E120" s="211"/>
      <c r="F120" s="211"/>
      <c r="G120" s="315"/>
      <c r="P120" s="196"/>
    </row>
    <row r="121" spans="2:16" s="77" customFormat="1" ht="16.5" customHeight="1">
      <c r="B121" s="545" t="s">
        <v>233</v>
      </c>
      <c r="C121" s="488">
        <v>311.60737</v>
      </c>
      <c r="D121" s="381">
        <f t="shared" si="3"/>
        <v>1199.99998</v>
      </c>
      <c r="E121" s="211"/>
      <c r="F121" s="211"/>
      <c r="G121" s="315"/>
      <c r="P121" s="196"/>
    </row>
    <row r="122" spans="2:16" s="77" customFormat="1" ht="9.75" customHeight="1">
      <c r="B122" s="150"/>
      <c r="C122" s="471"/>
      <c r="D122" s="381"/>
      <c r="E122" s="211"/>
      <c r="F122" s="211"/>
      <c r="G122" s="315"/>
      <c r="P122" s="196"/>
    </row>
    <row r="123" spans="2:16" s="77" customFormat="1" ht="15" customHeight="1">
      <c r="B123" s="658" t="s">
        <v>28</v>
      </c>
      <c r="C123" s="615">
        <f>+C106</f>
        <v>833814.9934800001</v>
      </c>
      <c r="D123" s="615">
        <f>+D106</f>
        <v>3211021.53989</v>
      </c>
      <c r="E123" s="211"/>
      <c r="F123" s="211"/>
      <c r="G123" s="315"/>
      <c r="P123" s="196"/>
    </row>
    <row r="124" spans="2:16" s="111" customFormat="1" ht="15" customHeight="1">
      <c r="B124" s="659"/>
      <c r="C124" s="616"/>
      <c r="D124" s="616"/>
      <c r="E124" s="211"/>
      <c r="F124" s="445"/>
      <c r="G124" s="315"/>
      <c r="P124" s="197"/>
    </row>
    <row r="125" spans="2:16" s="77" customFormat="1" ht="7.5" customHeight="1">
      <c r="B125" s="151"/>
      <c r="C125" s="101"/>
      <c r="D125" s="101"/>
      <c r="E125" s="211"/>
      <c r="F125" s="445"/>
      <c r="P125" s="196"/>
    </row>
    <row r="126" spans="1:16" ht="14.25" customHeight="1">
      <c r="A126" s="301"/>
      <c r="B126" s="302" t="s">
        <v>200</v>
      </c>
      <c r="C126" s="389"/>
      <c r="D126" s="389"/>
      <c r="P126" s="195"/>
    </row>
    <row r="127" spans="3:16" ht="12.75">
      <c r="C127" s="313"/>
      <c r="D127" s="313"/>
      <c r="P127" s="195"/>
    </row>
  </sheetData>
  <sheetProtection/>
  <mergeCells count="14">
    <mergeCell ref="B10:D10"/>
    <mergeCell ref="B102:D102"/>
    <mergeCell ref="B11:B12"/>
    <mergeCell ref="C11:C12"/>
    <mergeCell ref="D11:D12"/>
    <mergeCell ref="B88:B89"/>
    <mergeCell ref="C88:C89"/>
    <mergeCell ref="D88:D89"/>
    <mergeCell ref="B103:B104"/>
    <mergeCell ref="C103:C104"/>
    <mergeCell ref="D103:D104"/>
    <mergeCell ref="B123:B124"/>
    <mergeCell ref="C123:C124"/>
    <mergeCell ref="D123:D124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7" t="s">
        <v>18</v>
      </c>
      <c r="C6" s="547"/>
      <c r="D6" s="547"/>
      <c r="E6" s="547"/>
      <c r="F6" s="547"/>
      <c r="G6" s="547"/>
    </row>
    <row r="7" spans="2:7" s="4" customFormat="1" ht="15.75">
      <c r="B7" s="548" t="str">
        <f>+Indice!B7</f>
        <v>AL 31 DE ENERO 2023</v>
      </c>
      <c r="C7" s="548"/>
      <c r="D7" s="548"/>
      <c r="E7" s="548"/>
      <c r="F7" s="548"/>
      <c r="G7" s="548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0" t="s">
        <v>142</v>
      </c>
      <c r="E9" s="550"/>
      <c r="F9" s="550"/>
      <c r="G9" s="55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1" t="s">
        <v>131</v>
      </c>
      <c r="E13" s="551"/>
      <c r="F13" s="551"/>
      <c r="G13" s="551"/>
      <c r="H13" s="551"/>
    </row>
    <row r="14" spans="2:8" ht="15.75" customHeight="1">
      <c r="B14" s="52"/>
      <c r="C14" s="52"/>
      <c r="D14" s="551" t="s">
        <v>132</v>
      </c>
      <c r="E14" s="551"/>
      <c r="F14" s="551"/>
      <c r="G14" s="551"/>
      <c r="H14" s="551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4">
        <v>44957</v>
      </c>
      <c r="E22" s="553"/>
      <c r="F22" s="553"/>
      <c r="G22" s="55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3" t="s">
        <v>17</v>
      </c>
      <c r="E24" s="553"/>
      <c r="F24" s="553"/>
      <c r="G24" s="55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0" t="s">
        <v>151</v>
      </c>
      <c r="E26" s="550"/>
      <c r="F26" s="550"/>
      <c r="G26" s="55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44985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1" t="s">
        <v>160</v>
      </c>
      <c r="E37" s="551"/>
      <c r="F37" s="551"/>
      <c r="G37" s="55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3" t="s">
        <v>170</v>
      </c>
      <c r="E39" s="553"/>
      <c r="F39" s="553"/>
      <c r="G39" s="553"/>
      <c r="H39" s="552">
        <v>3.851</v>
      </c>
    </row>
    <row r="40" spans="4:8" ht="15.75" customHeight="1">
      <c r="D40" s="553"/>
      <c r="E40" s="553"/>
      <c r="F40" s="553"/>
      <c r="G40" s="553"/>
      <c r="H40" s="552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7" t="s">
        <v>172</v>
      </c>
      <c r="C5" s="547"/>
      <c r="D5" s="547"/>
      <c r="E5" s="547"/>
      <c r="F5" s="547"/>
      <c r="G5" s="547"/>
      <c r="H5" s="547"/>
      <c r="I5" s="547"/>
      <c r="J5" s="547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60" t="s">
        <v>18</v>
      </c>
      <c r="C6" s="560"/>
      <c r="D6" s="560"/>
      <c r="E6" s="560"/>
      <c r="F6" s="560"/>
      <c r="G6" s="560"/>
      <c r="H6" s="560"/>
      <c r="I6" s="560"/>
      <c r="J6" s="560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8" t="str">
        <f>+Indice!B7</f>
        <v>AL 31 DE ENERO 2023</v>
      </c>
      <c r="C7" s="548"/>
      <c r="D7" s="548"/>
      <c r="E7" s="548"/>
      <c r="F7" s="548"/>
      <c r="G7" s="548"/>
      <c r="H7" s="548"/>
      <c r="I7" s="548"/>
      <c r="J7" s="548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8"/>
      <c r="C8" s="548"/>
      <c r="D8" s="548"/>
      <c r="E8" s="548"/>
      <c r="F8" s="548"/>
      <c r="G8" s="548"/>
      <c r="H8" s="548"/>
      <c r="I8" s="548"/>
      <c r="J8" s="548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61" t="s">
        <v>161</v>
      </c>
      <c r="C9" s="561"/>
      <c r="D9" s="561"/>
      <c r="E9" s="561"/>
      <c r="F9" s="561"/>
      <c r="G9" s="561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7" t="s">
        <v>153</v>
      </c>
      <c r="C11" s="558"/>
      <c r="D11" s="558"/>
      <c r="E11" s="559"/>
      <c r="G11" s="557" t="s">
        <v>31</v>
      </c>
      <c r="H11" s="558"/>
      <c r="I11" s="558"/>
      <c r="J11" s="559"/>
    </row>
    <row r="12" spans="2:10" ht="19.5" customHeight="1">
      <c r="B12" s="121"/>
      <c r="C12" s="413" t="s">
        <v>76</v>
      </c>
      <c r="D12" s="414" t="s">
        <v>162</v>
      </c>
      <c r="E12" s="410" t="s">
        <v>27</v>
      </c>
      <c r="G12" s="124"/>
      <c r="H12" s="407" t="s">
        <v>76</v>
      </c>
      <c r="I12" s="407" t="str">
        <f>+D12</f>
        <v>Soles</v>
      </c>
      <c r="J12" s="487" t="s">
        <v>225</v>
      </c>
    </row>
    <row r="13" spans="2:15" ht="19.5" customHeight="1">
      <c r="B13" s="125" t="s">
        <v>72</v>
      </c>
      <c r="C13" s="408">
        <f>(+'DEP-C2'!C18+'DEP-C2'!C42)/1000</f>
        <v>7369.57041976</v>
      </c>
      <c r="D13" s="408">
        <f>(+'DEP-C2'!D18+'DEP-C2'!D42)/1000</f>
        <v>28380.215686488176</v>
      </c>
      <c r="E13" s="411">
        <f>+C13/$C$15</f>
        <v>0.7881856895015856</v>
      </c>
      <c r="G13" s="125" t="s">
        <v>73</v>
      </c>
      <c r="H13" s="408">
        <f>+C21+C22+C23+C24</f>
        <v>3673.9748825999995</v>
      </c>
      <c r="I13" s="408">
        <f>+D21+D22+D23+D24</f>
        <v>14148.47727287</v>
      </c>
      <c r="J13" s="485">
        <f>+H13/$H$15</f>
        <v>0.39293666538407174</v>
      </c>
      <c r="N13" s="199"/>
      <c r="O13" s="199"/>
    </row>
    <row r="14" spans="2:15" ht="19.5" customHeight="1">
      <c r="B14" s="125" t="s">
        <v>71</v>
      </c>
      <c r="C14" s="408">
        <f>(+'DEP-C2'!C14+'DEP-C2'!C38)/1000</f>
        <v>1980.47300011</v>
      </c>
      <c r="D14" s="408">
        <f>(+'DEP-C2'!D14+'DEP-C2'!D38)/1000</f>
        <v>7626.801523423299</v>
      </c>
      <c r="E14" s="411">
        <f>+C14/$C$15</f>
        <v>0.21181431049841432</v>
      </c>
      <c r="G14" s="125" t="s">
        <v>74</v>
      </c>
      <c r="H14" s="408">
        <f>+C20</f>
        <v>5676.06853727</v>
      </c>
      <c r="I14" s="408">
        <f>+D20</f>
        <v>21858.539937030004</v>
      </c>
      <c r="J14" s="485">
        <f>+H14/$H$15</f>
        <v>0.6070633346159283</v>
      </c>
      <c r="O14" s="156"/>
    </row>
    <row r="15" spans="2:15" ht="19.5" customHeight="1">
      <c r="B15" s="126" t="s">
        <v>28</v>
      </c>
      <c r="C15" s="409">
        <f>SUM(C13:C14)</f>
        <v>9350.04341987</v>
      </c>
      <c r="D15" s="409">
        <f>SUM(D13:D14)</f>
        <v>36007.01720991147</v>
      </c>
      <c r="E15" s="412">
        <f>SUM(E13:E14)</f>
        <v>1</v>
      </c>
      <c r="G15" s="126" t="s">
        <v>28</v>
      </c>
      <c r="H15" s="409">
        <f>SUM(H13:H14)</f>
        <v>9350.043419869999</v>
      </c>
      <c r="I15" s="409">
        <f>SUM(I13:I14)</f>
        <v>36007.017209900005</v>
      </c>
      <c r="J15" s="486">
        <f>SUM(J13:J14)</f>
        <v>1</v>
      </c>
      <c r="O15" s="156"/>
    </row>
    <row r="16" spans="2:10" ht="19.5" customHeight="1">
      <c r="B16" s="123"/>
      <c r="C16" s="494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7" t="s">
        <v>67</v>
      </c>
      <c r="C18" s="558"/>
      <c r="D18" s="558"/>
      <c r="E18" s="559"/>
      <c r="G18" s="557" t="s">
        <v>61</v>
      </c>
      <c r="H18" s="558"/>
      <c r="I18" s="558"/>
      <c r="J18" s="559"/>
      <c r="L18" s="127"/>
    </row>
    <row r="19" spans="2:10" ht="19.5" customHeight="1">
      <c r="B19" s="124"/>
      <c r="C19" s="407" t="s">
        <v>76</v>
      </c>
      <c r="D19" s="407" t="str">
        <f>+D12</f>
        <v>Soles</v>
      </c>
      <c r="E19" s="415" t="s">
        <v>27</v>
      </c>
      <c r="G19" s="124"/>
      <c r="H19" s="407" t="s">
        <v>76</v>
      </c>
      <c r="I19" s="407" t="str">
        <f>+I12</f>
        <v>Soles</v>
      </c>
      <c r="J19" s="415" t="s">
        <v>27</v>
      </c>
    </row>
    <row r="20" spans="2:12" ht="19.5" customHeight="1">
      <c r="B20" s="125" t="s">
        <v>74</v>
      </c>
      <c r="C20" s="408">
        <f>+(+'DEP-C7'!D20+'DEP-C7'!D38)/1000</f>
        <v>5676.06853727</v>
      </c>
      <c r="D20" s="408">
        <f>+(+'DEP-C7'!E20+'DEP-C7'!E38)/1000</f>
        <v>21858.539937030004</v>
      </c>
      <c r="E20" s="411">
        <f>+C20/$C$25</f>
        <v>0.6070633346159283</v>
      </c>
      <c r="G20" s="125" t="s">
        <v>76</v>
      </c>
      <c r="H20" s="408">
        <f>('DEP-C3'!C22+'DEP-C3'!C57)/1000</f>
        <v>6963.85740045</v>
      </c>
      <c r="I20" s="408">
        <f>('DEP-C3'!D22+'DEP-C3'!D57)/1000</f>
        <v>26817.81484914</v>
      </c>
      <c r="J20" s="411">
        <f>+H20/$H$24</f>
        <v>0.7447941242337914</v>
      </c>
      <c r="L20" s="157"/>
    </row>
    <row r="21" spans="2:12" ht="19.5" customHeight="1">
      <c r="B21" s="125" t="s">
        <v>75</v>
      </c>
      <c r="C21" s="408">
        <f>+(+'DEP-C7'!D15+'DEP-C7'!D30+'DEP-C7'!D76)/1000</f>
        <v>2196.25577264</v>
      </c>
      <c r="D21" s="408">
        <f>+(+'DEP-C7'!E15+'DEP-C7'!E30+'DEP-C7'!E76)/1000</f>
        <v>8457.78098042</v>
      </c>
      <c r="E21" s="411">
        <f>+C21/$C$25</f>
        <v>0.23489257472031466</v>
      </c>
      <c r="G21" s="125" t="s">
        <v>162</v>
      </c>
      <c r="H21" s="408">
        <f>('DEP-C3'!C14+'DEP-C3'!C49)/1000</f>
        <v>1970.5357371399998</v>
      </c>
      <c r="I21" s="408">
        <f>(+'DEP-C3'!D14+'DEP-C3'!D49)/1000</f>
        <v>7588.53312372</v>
      </c>
      <c r="J21" s="411">
        <f>+H21/$H$24</f>
        <v>0.21075150656010513</v>
      </c>
      <c r="L21" s="170"/>
    </row>
    <row r="22" spans="2:12" ht="19.5" customHeight="1">
      <c r="B22" s="125" t="s">
        <v>211</v>
      </c>
      <c r="C22" s="408">
        <f>+('DEP-C7'!D22+'DEP-C7'!D41)/1000</f>
        <v>467.9926435</v>
      </c>
      <c r="D22" s="408">
        <f>+('DEP-C7'!E22+'DEP-C7'!E41)/1000</f>
        <v>1802.2396701199998</v>
      </c>
      <c r="E22" s="411">
        <f>+C22/$C$25</f>
        <v>0.05005245670896648</v>
      </c>
      <c r="G22" s="125" t="s">
        <v>77</v>
      </c>
      <c r="H22" s="408">
        <f>+'DEP-C3'!C26/1000</f>
        <v>153.40648595</v>
      </c>
      <c r="I22" s="408">
        <f>+'DEP-C3'!D26/1000</f>
        <v>590.7683773900001</v>
      </c>
      <c r="J22" s="411">
        <f>+H22/$H$24</f>
        <v>0.016407034605207527</v>
      </c>
      <c r="L22" s="200"/>
    </row>
    <row r="23" spans="2:12" ht="19.5" customHeight="1">
      <c r="B23" s="125" t="s">
        <v>125</v>
      </c>
      <c r="C23" s="408">
        <f>+('DEP-C7'!D18+'DEP-C7'!D36+'DEP-C7'!D84)/1000</f>
        <v>492.73837563999996</v>
      </c>
      <c r="D23" s="408">
        <f>(+'DEP-C7'!E18+'DEP-C7'!E36+'DEP-C7'!E84)/1000</f>
        <v>1897.5354845899997</v>
      </c>
      <c r="E23" s="411">
        <f>+C23/$C$25</f>
        <v>0.05269904678654967</v>
      </c>
      <c r="G23" s="125" t="s">
        <v>78</v>
      </c>
      <c r="H23" s="234">
        <f>+'DEP-C3'!C30/1000</f>
        <v>262.24379633</v>
      </c>
      <c r="I23" s="234">
        <f>+'DEP-C3'!D30/1000</f>
        <v>1009.90085967</v>
      </c>
      <c r="J23" s="411">
        <f>+H23/$H$24</f>
        <v>0.028047334600896024</v>
      </c>
      <c r="L23" s="170"/>
    </row>
    <row r="24" spans="2:12" ht="19.5" customHeight="1">
      <c r="B24" s="125" t="s">
        <v>36</v>
      </c>
      <c r="C24" s="408">
        <f>+('DEP-C7'!D25+'DEP-C7'!D43+'DEP-C7'!D86)/1000</f>
        <v>516.98809082</v>
      </c>
      <c r="D24" s="408">
        <f>+('DEP-C7'!E25+'DEP-C7'!E43+'DEP-C7'!E86)/1000</f>
        <v>1990.92113774</v>
      </c>
      <c r="E24" s="411">
        <f>+C24/$C$25</f>
        <v>0.055292587168240995</v>
      </c>
      <c r="G24" s="126" t="s">
        <v>28</v>
      </c>
      <c r="H24" s="409">
        <f>SUM(H20:H23)</f>
        <v>9350.043419869999</v>
      </c>
      <c r="I24" s="409">
        <f>SUM(I20:I23)</f>
        <v>36007.01720992</v>
      </c>
      <c r="J24" s="412">
        <f>SUM(J20:J23)</f>
        <v>1</v>
      </c>
      <c r="L24" s="201"/>
    </row>
    <row r="25" spans="2:5" ht="19.5" customHeight="1">
      <c r="B25" s="126" t="s">
        <v>28</v>
      </c>
      <c r="C25" s="409">
        <f>SUM(C20:C24)</f>
        <v>9350.043419869999</v>
      </c>
      <c r="D25" s="409">
        <f>SUM(D20:D24)</f>
        <v>36007.017209900005</v>
      </c>
      <c r="E25" s="412">
        <f>SUM(E20:E24)</f>
        <v>1.0000000000000002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7" t="s">
        <v>29</v>
      </c>
      <c r="C28" s="558"/>
      <c r="D28" s="558"/>
      <c r="E28" s="559"/>
      <c r="G28" s="557" t="s">
        <v>30</v>
      </c>
      <c r="H28" s="558"/>
      <c r="I28" s="558"/>
      <c r="J28" s="559"/>
    </row>
    <row r="29" spans="2:10" ht="19.5" customHeight="1">
      <c r="B29" s="124"/>
      <c r="C29" s="407" t="s">
        <v>76</v>
      </c>
      <c r="D29" s="407" t="str">
        <f>+D19</f>
        <v>Soles</v>
      </c>
      <c r="E29" s="415" t="s">
        <v>27</v>
      </c>
      <c r="G29" s="124"/>
      <c r="H29" s="122" t="s">
        <v>76</v>
      </c>
      <c r="I29" s="122" t="str">
        <f>+I19</f>
        <v>Soles</v>
      </c>
      <c r="J29" s="416" t="s">
        <v>27</v>
      </c>
    </row>
    <row r="30" spans="2:14" ht="19.5" customHeight="1">
      <c r="B30" s="125" t="s">
        <v>91</v>
      </c>
      <c r="C30" s="408">
        <f>(+'DEP-C2'!C15+'DEP-C2'!C19+'DEP-C2'!C43)/1000</f>
        <v>3860.59116722</v>
      </c>
      <c r="D30" s="408">
        <f>(+'DEP-C2'!D15+'DEP-C2'!D19+'DEP-C2'!D43)/1000</f>
        <v>14867.13658496</v>
      </c>
      <c r="E30" s="411">
        <f>+C30/$C$32</f>
        <v>0.41289553362027875</v>
      </c>
      <c r="G30" s="125" t="s">
        <v>79</v>
      </c>
      <c r="H30" s="408">
        <f>'DEP-C2'!C22/1000</f>
        <v>8516.22842639</v>
      </c>
      <c r="I30" s="408">
        <f>+'DEP-C2'!D22/1000</f>
        <v>32795.99567002</v>
      </c>
      <c r="J30" s="411">
        <f>+H30/$H$32</f>
        <v>0.9108223399574765</v>
      </c>
      <c r="N30" s="157"/>
    </row>
    <row r="31" spans="2:14" ht="19.5" customHeight="1">
      <c r="B31" s="125" t="s">
        <v>92</v>
      </c>
      <c r="C31" s="408">
        <f>(+'DEP-C2'!C16+'DEP-C2'!C20+'DEP-C2'!C40+'DEP-C2'!C44)/1000</f>
        <v>5489.45225265</v>
      </c>
      <c r="D31" s="408">
        <f>(+'DEP-C2'!D16+'DEP-C2'!D20+'DEP-C2'!D40+'DEP-C2'!D44)/1000</f>
        <v>21139.88062495148</v>
      </c>
      <c r="E31" s="411">
        <f>+C31/$C$32</f>
        <v>0.5871044663797212</v>
      </c>
      <c r="G31" s="125" t="s">
        <v>80</v>
      </c>
      <c r="H31" s="408">
        <f>+'DEP-C2'!C46/1000</f>
        <v>833.81499348</v>
      </c>
      <c r="I31" s="408">
        <f>+'DEP-C2'!D46/1000</f>
        <v>3211.02153989148</v>
      </c>
      <c r="J31" s="411">
        <f>+H31/$H$32</f>
        <v>0.08917766004252342</v>
      </c>
      <c r="N31" s="158"/>
    </row>
    <row r="32" spans="2:14" ht="19.5" customHeight="1">
      <c r="B32" s="126" t="s">
        <v>28</v>
      </c>
      <c r="C32" s="409">
        <f>SUM(C30:C31)</f>
        <v>9350.04341987</v>
      </c>
      <c r="D32" s="409">
        <f>SUM(D30:D31)</f>
        <v>36007.01720991148</v>
      </c>
      <c r="E32" s="412">
        <f>SUM(E30:E31)</f>
        <v>1</v>
      </c>
      <c r="G32" s="126" t="s">
        <v>28</v>
      </c>
      <c r="H32" s="409">
        <f>SUM(H30:H31)</f>
        <v>9350.04341987</v>
      </c>
      <c r="I32" s="409">
        <f>SUM(I30:I31)</f>
        <v>36007.01720991148</v>
      </c>
      <c r="J32" s="412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55"/>
      <c r="C37" s="556"/>
      <c r="D37" s="556"/>
      <c r="E37" s="556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7" t="s">
        <v>173</v>
      </c>
      <c r="C5" s="547"/>
      <c r="D5" s="547"/>
      <c r="E5" s="547"/>
      <c r="F5" s="547"/>
      <c r="G5" s="547"/>
      <c r="H5" s="547"/>
    </row>
    <row r="6" spans="2:8" s="4" customFormat="1" ht="19.5" customHeight="1">
      <c r="B6" s="560" t="s">
        <v>18</v>
      </c>
      <c r="C6" s="560"/>
      <c r="D6" s="560"/>
      <c r="E6" s="560"/>
      <c r="F6" s="560"/>
      <c r="G6" s="560"/>
      <c r="H6" s="560"/>
    </row>
    <row r="7" spans="2:8" s="4" customFormat="1" ht="18" customHeight="1">
      <c r="B7" s="548" t="str">
        <f>+Indice!B7</f>
        <v>AL 31 DE ENERO 2023</v>
      </c>
      <c r="C7" s="548"/>
      <c r="D7" s="548"/>
      <c r="E7" s="548"/>
      <c r="F7" s="548"/>
      <c r="G7" s="548"/>
      <c r="H7" s="548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4" t="str">
        <f>+Resumen!B11:E11</f>
        <v>TIPO DE DEUDA</v>
      </c>
      <c r="C10" s="564"/>
      <c r="D10" s="564"/>
      <c r="E10" s="90"/>
      <c r="F10" s="564" t="s">
        <v>31</v>
      </c>
      <c r="G10" s="564"/>
      <c r="H10" s="564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4" t="str">
        <f>+Resumen!B18:E18</f>
        <v>GRUPO DEL ACREEDOR</v>
      </c>
      <c r="C28" s="564"/>
      <c r="D28" s="564"/>
      <c r="F28" s="564" t="s">
        <v>61</v>
      </c>
      <c r="G28" s="564"/>
      <c r="H28" s="564"/>
    </row>
    <row r="48" spans="2:8" s="23" customFormat="1" ht="16.5">
      <c r="B48" s="564" t="s">
        <v>29</v>
      </c>
      <c r="C48" s="564"/>
      <c r="D48" s="564"/>
      <c r="F48" s="564" t="s">
        <v>30</v>
      </c>
      <c r="G48" s="564"/>
      <c r="H48" s="564"/>
    </row>
    <row r="66" spans="2:8" ht="30" customHeight="1">
      <c r="B66" s="565"/>
      <c r="C66" s="565"/>
      <c r="D66" s="565"/>
      <c r="E66" s="565"/>
      <c r="F66" s="565"/>
      <c r="G66" s="565"/>
      <c r="H66" s="565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2"/>
      <c r="C69" s="563"/>
      <c r="D69" s="563"/>
      <c r="E69" s="563"/>
      <c r="F69" s="51"/>
      <c r="G69" s="51"/>
      <c r="H69" s="51"/>
    </row>
    <row r="70" spans="2:8" ht="15.75" customHeight="1">
      <c r="B70" s="562"/>
      <c r="C70" s="563"/>
      <c r="D70" s="563"/>
      <c r="E70" s="563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0" width="10.7109375" style="9" customWidth="1"/>
    <col min="51" max="55" width="10.7109375" style="9" hidden="1" customWidth="1"/>
    <col min="56" max="61" width="9.140625" style="9" hidden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600"/>
      <c r="C2" s="600"/>
      <c r="D2" s="600"/>
      <c r="E2" s="600"/>
      <c r="F2" s="60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0"/>
      <c r="C3" s="600"/>
      <c r="D3" s="600"/>
      <c r="E3" s="600"/>
      <c r="F3" s="60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3" t="s">
        <v>113</v>
      </c>
      <c r="C6" s="373"/>
      <c r="D6" s="373"/>
      <c r="E6" s="373"/>
      <c r="F6" s="373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7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7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4" t="s">
        <v>261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6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62" s="27" customFormat="1" ht="18" customHeight="1">
      <c r="B12" s="570" t="s">
        <v>140</v>
      </c>
      <c r="C12" s="572">
        <v>2009</v>
      </c>
      <c r="D12" s="603">
        <v>2010</v>
      </c>
      <c r="E12" s="601">
        <v>2011</v>
      </c>
      <c r="F12" s="572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2">
        <v>2013</v>
      </c>
      <c r="S12" s="572">
        <v>2014</v>
      </c>
      <c r="T12" s="596">
        <v>2015</v>
      </c>
      <c r="U12" s="580">
        <v>2016</v>
      </c>
      <c r="V12" s="598">
        <v>2017</v>
      </c>
      <c r="W12" s="566">
        <v>2018</v>
      </c>
      <c r="X12" s="566">
        <v>2019</v>
      </c>
      <c r="Y12" s="566">
        <v>2020</v>
      </c>
      <c r="Z12" s="523">
        <v>2021</v>
      </c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605">
        <v>2021</v>
      </c>
      <c r="AL12" s="660">
        <v>2022</v>
      </c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05">
        <v>2022</v>
      </c>
      <c r="AX12" s="593">
        <v>2023</v>
      </c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  <c r="BI12" s="595"/>
      <c r="BJ12" s="490"/>
    </row>
    <row r="13" spans="2:62" s="27" customFormat="1" ht="18" customHeight="1">
      <c r="B13" s="571"/>
      <c r="C13" s="573"/>
      <c r="D13" s="604"/>
      <c r="E13" s="602"/>
      <c r="F13" s="573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3"/>
      <c r="S13" s="573"/>
      <c r="T13" s="597"/>
      <c r="U13" s="581"/>
      <c r="V13" s="599"/>
      <c r="W13" s="567"/>
      <c r="X13" s="567"/>
      <c r="Y13" s="567"/>
      <c r="Z13" s="489" t="s">
        <v>97</v>
      </c>
      <c r="AA13" s="425" t="s">
        <v>98</v>
      </c>
      <c r="AB13" s="519" t="s">
        <v>103</v>
      </c>
      <c r="AC13" s="431" t="s">
        <v>105</v>
      </c>
      <c r="AD13" s="520" t="s">
        <v>231</v>
      </c>
      <c r="AE13" s="519" t="s">
        <v>122</v>
      </c>
      <c r="AF13" s="438" t="s">
        <v>141</v>
      </c>
      <c r="AG13" s="447" t="s">
        <v>143</v>
      </c>
      <c r="AH13" s="521" t="s">
        <v>243</v>
      </c>
      <c r="AI13" s="522" t="s">
        <v>148</v>
      </c>
      <c r="AJ13" s="438" t="s">
        <v>150</v>
      </c>
      <c r="AK13" s="606"/>
      <c r="AL13" s="489" t="s">
        <v>97</v>
      </c>
      <c r="AM13" s="425" t="s">
        <v>98</v>
      </c>
      <c r="AN13" s="429" t="s">
        <v>103</v>
      </c>
      <c r="AO13" s="431" t="s">
        <v>105</v>
      </c>
      <c r="AP13" s="436" t="s">
        <v>231</v>
      </c>
      <c r="AQ13" s="429" t="s">
        <v>122</v>
      </c>
      <c r="AR13" s="438" t="s">
        <v>141</v>
      </c>
      <c r="AS13" s="447" t="s">
        <v>143</v>
      </c>
      <c r="AT13" s="450" t="s">
        <v>243</v>
      </c>
      <c r="AU13" s="477" t="s">
        <v>148</v>
      </c>
      <c r="AV13" s="438" t="s">
        <v>150</v>
      </c>
      <c r="AW13" s="606"/>
      <c r="AX13" s="489" t="s">
        <v>97</v>
      </c>
      <c r="AY13" s="425" t="s">
        <v>98</v>
      </c>
      <c r="AZ13" s="429" t="s">
        <v>103</v>
      </c>
      <c r="BA13" s="431" t="s">
        <v>105</v>
      </c>
      <c r="BB13" s="436" t="s">
        <v>231</v>
      </c>
      <c r="BC13" s="429" t="s">
        <v>122</v>
      </c>
      <c r="BD13" s="438" t="s">
        <v>141</v>
      </c>
      <c r="BE13" s="447" t="s">
        <v>143</v>
      </c>
      <c r="BF13" s="450" t="s">
        <v>243</v>
      </c>
      <c r="BG13" s="477" t="s">
        <v>148</v>
      </c>
      <c r="BH13" s="438" t="s">
        <v>150</v>
      </c>
      <c r="BI13" s="476" t="s">
        <v>171</v>
      </c>
      <c r="BJ13" s="490"/>
    </row>
    <row r="14" spans="2:62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8"/>
      <c r="U14" s="401"/>
      <c r="V14" s="448"/>
      <c r="W14" s="478"/>
      <c r="X14" s="478"/>
      <c r="Y14" s="439"/>
      <c r="Z14" s="401"/>
      <c r="AA14" s="426"/>
      <c r="AB14" s="182"/>
      <c r="AC14" s="426"/>
      <c r="AD14" s="437"/>
      <c r="AE14" s="182"/>
      <c r="AF14" s="439"/>
      <c r="AG14" s="448"/>
      <c r="AH14" s="402"/>
      <c r="AI14" s="478"/>
      <c r="AJ14" s="439"/>
      <c r="AK14" s="439"/>
      <c r="AL14" s="401"/>
      <c r="AM14" s="426"/>
      <c r="AN14" s="182"/>
      <c r="AO14" s="426"/>
      <c r="AP14" s="437"/>
      <c r="AQ14" s="182"/>
      <c r="AR14" s="439"/>
      <c r="AS14" s="448"/>
      <c r="AT14" s="402"/>
      <c r="AU14" s="478"/>
      <c r="AV14" s="439"/>
      <c r="AW14" s="439"/>
      <c r="AX14" s="401"/>
      <c r="AY14" s="426"/>
      <c r="AZ14" s="182"/>
      <c r="BA14" s="426"/>
      <c r="BB14" s="437"/>
      <c r="BC14" s="182"/>
      <c r="BD14" s="439"/>
      <c r="BE14" s="448"/>
      <c r="BF14" s="402"/>
      <c r="BG14" s="478"/>
      <c r="BH14" s="439"/>
      <c r="BI14" s="439"/>
      <c r="BJ14" s="490"/>
    </row>
    <row r="15" spans="2:63" s="25" customFormat="1" ht="21.75" customHeight="1">
      <c r="B15" s="178" t="s">
        <v>34</v>
      </c>
      <c r="C15" s="483">
        <v>1389</v>
      </c>
      <c r="D15" s="483">
        <v>2144</v>
      </c>
      <c r="E15" s="481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9">
        <v>2258.8960634599985</v>
      </c>
      <c r="U15" s="403">
        <v>2931.5247573100005</v>
      </c>
      <c r="V15" s="427">
        <v>2816.8010528699997</v>
      </c>
      <c r="W15" s="479">
        <v>2585.67327702</v>
      </c>
      <c r="X15" s="479">
        <v>2512.4269972</v>
      </c>
      <c r="Y15" s="440">
        <v>2847.266591940001</v>
      </c>
      <c r="Z15" s="403">
        <v>2669.7649879099995</v>
      </c>
      <c r="AA15" s="427">
        <v>2280.8565583599984</v>
      </c>
      <c r="AB15" s="33">
        <v>2080.1915407399993</v>
      </c>
      <c r="AC15" s="427">
        <v>2002.289934100001</v>
      </c>
      <c r="AD15" s="399">
        <v>2000.7607678600002</v>
      </c>
      <c r="AE15" s="399">
        <v>1909.2826383400002</v>
      </c>
      <c r="AF15" s="479">
        <v>1829.166610660001</v>
      </c>
      <c r="AG15" s="479">
        <v>1874.6325798299988</v>
      </c>
      <c r="AH15" s="440">
        <v>1899.0710651699999</v>
      </c>
      <c r="AI15" s="479">
        <v>1939.514755</v>
      </c>
      <c r="AJ15" s="440">
        <v>1986.8050023</v>
      </c>
      <c r="AK15" s="440">
        <v>2166.44417054</v>
      </c>
      <c r="AL15" s="403">
        <v>2152.2243202</v>
      </c>
      <c r="AM15" s="427">
        <v>2129.8946967700003</v>
      </c>
      <c r="AN15" s="33">
        <v>2047.14908125</v>
      </c>
      <c r="AO15" s="427">
        <v>1935.69506788</v>
      </c>
      <c r="AP15" s="399">
        <v>2030.1634751700003</v>
      </c>
      <c r="AQ15" s="399">
        <v>2015.78099483</v>
      </c>
      <c r="AR15" s="479">
        <v>1975.9157757899998</v>
      </c>
      <c r="AS15" s="479">
        <v>2031.3514093</v>
      </c>
      <c r="AT15" s="440">
        <v>2010.12565047</v>
      </c>
      <c r="AU15" s="479">
        <v>1984.13708058</v>
      </c>
      <c r="AV15" s="440">
        <v>2045.5234255300002</v>
      </c>
      <c r="AW15" s="440">
        <v>2107.9011715799998</v>
      </c>
      <c r="AX15" s="403">
        <v>1980.47300011</v>
      </c>
      <c r="AY15" s="427">
        <v>0</v>
      </c>
      <c r="AZ15" s="33">
        <v>0</v>
      </c>
      <c r="BA15" s="427">
        <v>0</v>
      </c>
      <c r="BB15" s="399">
        <v>0</v>
      </c>
      <c r="BC15" s="399">
        <v>0</v>
      </c>
      <c r="BD15" s="479">
        <v>0</v>
      </c>
      <c r="BE15" s="479">
        <v>0</v>
      </c>
      <c r="BF15" s="440">
        <v>0</v>
      </c>
      <c r="BG15" s="479">
        <v>0</v>
      </c>
      <c r="BH15" s="440">
        <v>0</v>
      </c>
      <c r="BI15" s="440">
        <v>0</v>
      </c>
      <c r="BJ15" s="513"/>
      <c r="BK15" s="460"/>
    </row>
    <row r="16" spans="2:63" s="25" customFormat="1" ht="21.75" customHeight="1">
      <c r="B16" s="178" t="s">
        <v>33</v>
      </c>
      <c r="C16" s="483">
        <v>256</v>
      </c>
      <c r="D16" s="483">
        <v>389</v>
      </c>
      <c r="E16" s="481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9">
        <v>4201.51382237</v>
      </c>
      <c r="U16" s="403">
        <v>4539.076503679999</v>
      </c>
      <c r="V16" s="427">
        <v>5985.46242653</v>
      </c>
      <c r="W16" s="479">
        <v>7233.929935290001</v>
      </c>
      <c r="X16" s="479">
        <v>6012.22120457</v>
      </c>
      <c r="Y16" s="440">
        <v>6614.97187366</v>
      </c>
      <c r="Z16" s="403">
        <v>6532.3018552</v>
      </c>
      <c r="AA16" s="427">
        <v>6254.41370703</v>
      </c>
      <c r="AB16" s="33">
        <v>6211.728456299999</v>
      </c>
      <c r="AC16" s="427">
        <v>6174.95095902</v>
      </c>
      <c r="AD16" s="399">
        <v>7204.2090273799995</v>
      </c>
      <c r="AE16" s="399">
        <v>7147.625556479999</v>
      </c>
      <c r="AF16" s="479">
        <v>7128.95570324</v>
      </c>
      <c r="AG16" s="479">
        <v>7137.063251669999</v>
      </c>
      <c r="AH16" s="440">
        <v>7162.63829835</v>
      </c>
      <c r="AI16" s="479">
        <v>7256.429646359999</v>
      </c>
      <c r="AJ16" s="440">
        <v>7243.23665188</v>
      </c>
      <c r="AK16" s="440">
        <v>7402.06335374</v>
      </c>
      <c r="AL16" s="403">
        <v>7364.97449206</v>
      </c>
      <c r="AM16" s="427">
        <v>7164.30753646</v>
      </c>
      <c r="AN16" s="33">
        <v>7154.238466520001</v>
      </c>
      <c r="AO16" s="427">
        <v>7309.09406754</v>
      </c>
      <c r="AP16" s="399">
        <v>7179.37547441</v>
      </c>
      <c r="AQ16" s="399">
        <v>7042.059833729999</v>
      </c>
      <c r="AR16" s="479">
        <v>7150.61353248</v>
      </c>
      <c r="AS16" s="479">
        <v>7170.286449939999</v>
      </c>
      <c r="AT16" s="440">
        <v>7142.417474749999</v>
      </c>
      <c r="AU16" s="479">
        <v>7456.628515699999</v>
      </c>
      <c r="AV16" s="440">
        <v>7473.773917119999</v>
      </c>
      <c r="AW16" s="440">
        <v>7665.39460745</v>
      </c>
      <c r="AX16" s="403">
        <v>7369.57041976</v>
      </c>
      <c r="AY16" s="427">
        <v>0</v>
      </c>
      <c r="AZ16" s="33">
        <v>0</v>
      </c>
      <c r="BA16" s="427">
        <v>0</v>
      </c>
      <c r="BB16" s="399">
        <v>0</v>
      </c>
      <c r="BC16" s="399">
        <v>0</v>
      </c>
      <c r="BD16" s="479">
        <v>0</v>
      </c>
      <c r="BE16" s="479">
        <v>0</v>
      </c>
      <c r="BF16" s="440">
        <v>0</v>
      </c>
      <c r="BG16" s="479">
        <v>0</v>
      </c>
      <c r="BH16" s="440">
        <v>0</v>
      </c>
      <c r="BI16" s="440">
        <v>0</v>
      </c>
      <c r="BJ16" s="514"/>
      <c r="BK16" s="460"/>
    </row>
    <row r="17" spans="2:62" s="25" customFormat="1" ht="6" customHeight="1">
      <c r="B17" s="179"/>
      <c r="C17" s="484"/>
      <c r="D17" s="484"/>
      <c r="E17" s="482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0"/>
      <c r="U17" s="404"/>
      <c r="V17" s="449"/>
      <c r="W17" s="480"/>
      <c r="X17" s="480"/>
      <c r="Y17" s="441"/>
      <c r="Z17" s="404"/>
      <c r="AA17" s="428"/>
      <c r="AB17" s="35"/>
      <c r="AC17" s="428"/>
      <c r="AD17" s="400"/>
      <c r="AE17" s="400"/>
      <c r="AF17" s="480"/>
      <c r="AG17" s="480"/>
      <c r="AH17" s="441"/>
      <c r="AI17" s="480"/>
      <c r="AJ17" s="441"/>
      <c r="AK17" s="441"/>
      <c r="AL17" s="404"/>
      <c r="AM17" s="428"/>
      <c r="AN17" s="35"/>
      <c r="AO17" s="428"/>
      <c r="AP17" s="400"/>
      <c r="AQ17" s="400"/>
      <c r="AR17" s="480"/>
      <c r="AS17" s="480"/>
      <c r="AT17" s="441"/>
      <c r="AU17" s="480"/>
      <c r="AV17" s="441"/>
      <c r="AW17" s="441"/>
      <c r="AX17" s="404"/>
      <c r="AY17" s="428"/>
      <c r="AZ17" s="35"/>
      <c r="BA17" s="428"/>
      <c r="BB17" s="400"/>
      <c r="BC17" s="400"/>
      <c r="BD17" s="480"/>
      <c r="BE17" s="480"/>
      <c r="BF17" s="441"/>
      <c r="BG17" s="480"/>
      <c r="BH17" s="441"/>
      <c r="BI17" s="441"/>
      <c r="BJ17" s="491"/>
    </row>
    <row r="18" spans="2:62" s="27" customFormat="1" ht="15" customHeight="1">
      <c r="B18" s="585" t="s">
        <v>99</v>
      </c>
      <c r="C18" s="587">
        <f aca="true" t="shared" si="0" ref="C18:H18">SUM(C15:C16)</f>
        <v>1645</v>
      </c>
      <c r="D18" s="587">
        <f t="shared" si="0"/>
        <v>2533</v>
      </c>
      <c r="E18" s="578">
        <f t="shared" si="0"/>
        <v>2778</v>
      </c>
      <c r="F18" s="587">
        <f t="shared" si="0"/>
        <v>3231.62940566</v>
      </c>
      <c r="G18" s="589">
        <f t="shared" si="0"/>
        <v>3978.2822575499995</v>
      </c>
      <c r="H18" s="589">
        <f t="shared" si="0"/>
        <v>4283.16118678</v>
      </c>
      <c r="I18" s="576">
        <f aca="true" t="shared" si="1" ref="I18:N18">SUM(I15:I16)</f>
        <v>4271.37034379</v>
      </c>
      <c r="J18" s="576">
        <f t="shared" si="1"/>
        <v>3622.58121752</v>
      </c>
      <c r="K18" s="576">
        <f t="shared" si="1"/>
        <v>3177.2183911999996</v>
      </c>
      <c r="L18" s="576">
        <f t="shared" si="1"/>
        <v>3224.1298934800006</v>
      </c>
      <c r="M18" s="576">
        <f t="shared" si="1"/>
        <v>3273.10540427</v>
      </c>
      <c r="N18" s="576">
        <f t="shared" si="1"/>
        <v>3382.31552197</v>
      </c>
      <c r="O18" s="576">
        <f>+O15+O16</f>
        <v>3510.4566990000008</v>
      </c>
      <c r="P18" s="576">
        <f>+P15+P16</f>
        <v>3663.6902058299997</v>
      </c>
      <c r="Q18" s="576">
        <f>+Q15+Q16</f>
        <v>3934.70126796</v>
      </c>
      <c r="R18" s="576">
        <f>+R15+R16</f>
        <v>4098.53643417</v>
      </c>
      <c r="S18" s="576">
        <f>+S15+S16</f>
        <v>5844.665124709998</v>
      </c>
      <c r="T18" s="582">
        <f aca="true" t="shared" si="2" ref="T18:Y18">+T16+T15</f>
        <v>6460.4098858299985</v>
      </c>
      <c r="U18" s="591">
        <f t="shared" si="2"/>
        <v>7470.60126099</v>
      </c>
      <c r="V18" s="582">
        <f t="shared" si="2"/>
        <v>8802.2634794</v>
      </c>
      <c r="W18" s="568">
        <f t="shared" si="2"/>
        <v>9819.603212310001</v>
      </c>
      <c r="X18" s="568">
        <f t="shared" si="2"/>
        <v>8524.64820177</v>
      </c>
      <c r="Y18" s="574">
        <f t="shared" si="2"/>
        <v>9462.238465600001</v>
      </c>
      <c r="Z18" s="568">
        <f aca="true" t="shared" si="3" ref="Z18:AJ18">+Z16+Z15</f>
        <v>9202.06684311</v>
      </c>
      <c r="AA18" s="578">
        <f t="shared" si="3"/>
        <v>8535.270265389998</v>
      </c>
      <c r="AB18" s="591">
        <f t="shared" si="3"/>
        <v>8291.919997039999</v>
      </c>
      <c r="AC18" s="578">
        <f t="shared" si="3"/>
        <v>8177.240893120001</v>
      </c>
      <c r="AD18" s="582">
        <f t="shared" si="3"/>
        <v>9204.96979524</v>
      </c>
      <c r="AE18" s="591">
        <f t="shared" si="3"/>
        <v>9056.90819482</v>
      </c>
      <c r="AF18" s="574">
        <f t="shared" si="3"/>
        <v>8958.122313900001</v>
      </c>
      <c r="AG18" s="582">
        <f t="shared" si="3"/>
        <v>9011.695831499997</v>
      </c>
      <c r="AH18" s="576">
        <f t="shared" si="3"/>
        <v>9061.70936352</v>
      </c>
      <c r="AI18" s="568">
        <f t="shared" si="3"/>
        <v>9195.944401359999</v>
      </c>
      <c r="AJ18" s="574">
        <f t="shared" si="3"/>
        <v>9230.04165418</v>
      </c>
      <c r="AK18" s="574">
        <f>+AK16+AK15</f>
        <v>9568.50752428</v>
      </c>
      <c r="AL18" s="568">
        <f aca="true" t="shared" si="4" ref="AL18:AW18">+AL16+AL15</f>
        <v>9517.19881226</v>
      </c>
      <c r="AM18" s="578">
        <f t="shared" si="4"/>
        <v>9294.20223323</v>
      </c>
      <c r="AN18" s="591">
        <f t="shared" si="4"/>
        <v>9201.38754777</v>
      </c>
      <c r="AO18" s="578">
        <f t="shared" si="4"/>
        <v>9244.78913542</v>
      </c>
      <c r="AP18" s="582">
        <f t="shared" si="4"/>
        <v>9209.538949580001</v>
      </c>
      <c r="AQ18" s="591">
        <f t="shared" si="4"/>
        <v>9057.840828559998</v>
      </c>
      <c r="AR18" s="574">
        <f t="shared" si="4"/>
        <v>9126.52930827</v>
      </c>
      <c r="AS18" s="582">
        <f t="shared" si="4"/>
        <v>9201.63785924</v>
      </c>
      <c r="AT18" s="576">
        <f t="shared" si="4"/>
        <v>9152.54312522</v>
      </c>
      <c r="AU18" s="568">
        <f t="shared" si="4"/>
        <v>9440.76559628</v>
      </c>
      <c r="AV18" s="574">
        <f t="shared" si="4"/>
        <v>9519.29734265</v>
      </c>
      <c r="AW18" s="574">
        <f>+AW16+AW15</f>
        <v>9773.295779029999</v>
      </c>
      <c r="AX18" s="568">
        <f>+AX16+AX15</f>
        <v>9350.04341987</v>
      </c>
      <c r="AY18" s="578">
        <f>+AY16+AY15</f>
        <v>0</v>
      </c>
      <c r="AZ18" s="591">
        <f>+AZ16+AZ15</f>
        <v>0</v>
      </c>
      <c r="BA18" s="578">
        <f>+BA16+BA15</f>
        <v>0</v>
      </c>
      <c r="BB18" s="582">
        <f>+BB16+BB15</f>
        <v>0</v>
      </c>
      <c r="BC18" s="591">
        <f aca="true" t="shared" si="5" ref="BC18:BH18">+BC16+BC15</f>
        <v>0</v>
      </c>
      <c r="BD18" s="574">
        <f t="shared" si="5"/>
        <v>0</v>
      </c>
      <c r="BE18" s="582">
        <f t="shared" si="5"/>
        <v>0</v>
      </c>
      <c r="BF18" s="576">
        <f t="shared" si="5"/>
        <v>0</v>
      </c>
      <c r="BG18" s="568">
        <f t="shared" si="5"/>
        <v>0</v>
      </c>
      <c r="BH18" s="574">
        <f t="shared" si="5"/>
        <v>0</v>
      </c>
      <c r="BI18" s="574">
        <f>+BI16+BI15</f>
        <v>0</v>
      </c>
      <c r="BJ18" s="490"/>
    </row>
    <row r="19" spans="2:63" s="27" customFormat="1" ht="15" customHeight="1">
      <c r="B19" s="586"/>
      <c r="C19" s="588"/>
      <c r="D19" s="588"/>
      <c r="E19" s="579"/>
      <c r="F19" s="588"/>
      <c r="G19" s="590"/>
      <c r="H19" s="590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83"/>
      <c r="U19" s="592"/>
      <c r="V19" s="583"/>
      <c r="W19" s="569"/>
      <c r="X19" s="569"/>
      <c r="Y19" s="575"/>
      <c r="Z19" s="569"/>
      <c r="AA19" s="579"/>
      <c r="AB19" s="592"/>
      <c r="AC19" s="579"/>
      <c r="AD19" s="583"/>
      <c r="AE19" s="592"/>
      <c r="AF19" s="575"/>
      <c r="AG19" s="583"/>
      <c r="AH19" s="577"/>
      <c r="AI19" s="569"/>
      <c r="AJ19" s="575"/>
      <c r="AK19" s="575"/>
      <c r="AL19" s="569"/>
      <c r="AM19" s="579"/>
      <c r="AN19" s="592"/>
      <c r="AO19" s="579"/>
      <c r="AP19" s="583"/>
      <c r="AQ19" s="592"/>
      <c r="AR19" s="575"/>
      <c r="AS19" s="583"/>
      <c r="AT19" s="577"/>
      <c r="AU19" s="569"/>
      <c r="AV19" s="575"/>
      <c r="AW19" s="575"/>
      <c r="AX19" s="569"/>
      <c r="AY19" s="579"/>
      <c r="AZ19" s="592"/>
      <c r="BA19" s="579"/>
      <c r="BB19" s="583"/>
      <c r="BC19" s="592"/>
      <c r="BD19" s="575"/>
      <c r="BE19" s="583"/>
      <c r="BF19" s="577"/>
      <c r="BG19" s="569"/>
      <c r="BH19" s="575"/>
      <c r="BI19" s="575"/>
      <c r="BJ19" s="490"/>
      <c r="BK19" s="460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8"/>
      <c r="BB21" s="528"/>
    </row>
    <row r="22" spans="2:61" s="25" customFormat="1" ht="28.5" customHeight="1">
      <c r="B22" s="584"/>
      <c r="C22" s="584"/>
      <c r="D22" s="584"/>
      <c r="E22" s="584"/>
      <c r="F22" s="58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501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501"/>
      <c r="AQ22" s="202"/>
      <c r="AR22" s="538"/>
      <c r="AS22" s="202"/>
      <c r="AT22" s="202"/>
      <c r="AU22" s="202"/>
      <c r="AV22" s="202"/>
      <c r="AW22" s="202"/>
      <c r="AX22" s="188"/>
      <c r="AY22" s="188"/>
      <c r="AZ22" s="188"/>
      <c r="BA22" s="202"/>
      <c r="BB22" s="501"/>
      <c r="BC22" s="202"/>
      <c r="BD22" s="538"/>
      <c r="BE22" s="202"/>
      <c r="BF22" s="202"/>
      <c r="BG22" s="202"/>
      <c r="BH22" s="202"/>
      <c r="BI22" s="202"/>
    </row>
    <row r="23" spans="2:61" s="25" customFormat="1" ht="28.5" customHeight="1">
      <c r="B23" s="584"/>
      <c r="C23" s="584"/>
      <c r="D23" s="584"/>
      <c r="E23" s="584"/>
      <c r="F23" s="58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99"/>
      <c r="AD23" s="501"/>
      <c r="AF23" s="202"/>
      <c r="AG23" s="501"/>
      <c r="AK23" s="499"/>
      <c r="AN23" s="499"/>
      <c r="AP23" s="501"/>
      <c r="AR23" s="202"/>
      <c r="AS23" s="539"/>
      <c r="AV23" s="501"/>
      <c r="AW23" s="499"/>
      <c r="AZ23" s="499"/>
      <c r="BB23" s="501"/>
      <c r="BD23" s="202"/>
      <c r="BE23" s="539"/>
      <c r="BH23" s="501"/>
      <c r="BI23" s="499"/>
    </row>
    <row r="24" spans="2:56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  <c r="BD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23:F23"/>
    <mergeCell ref="B18:B19"/>
    <mergeCell ref="C18:C19"/>
    <mergeCell ref="D18:D19"/>
    <mergeCell ref="E18:E19"/>
    <mergeCell ref="G18:G19"/>
    <mergeCell ref="B22:F22"/>
    <mergeCell ref="F18:F19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25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3"/>
    </row>
    <row r="2" spans="2:14" s="1" customFormat="1" ht="13.5" customHeight="1">
      <c r="B2" s="600"/>
      <c r="C2" s="600"/>
      <c r="D2" s="600"/>
      <c r="E2" s="171"/>
      <c r="F2" s="353"/>
      <c r="G2" s="171"/>
      <c r="H2" s="171"/>
      <c r="I2" s="171"/>
      <c r="J2" s="171"/>
      <c r="M2" s="226"/>
      <c r="N2" s="226"/>
    </row>
    <row r="3" spans="2:14" s="1" customFormat="1" ht="13.5" customHeight="1">
      <c r="B3" s="600"/>
      <c r="C3" s="600"/>
      <c r="D3" s="600"/>
      <c r="E3" s="171"/>
      <c r="F3" s="353"/>
      <c r="G3" s="171"/>
      <c r="H3" s="171"/>
      <c r="I3" s="171"/>
      <c r="J3" s="171"/>
      <c r="M3" s="226"/>
      <c r="N3" s="226"/>
    </row>
    <row r="4" spans="2:14" s="1" customFormat="1" ht="18">
      <c r="B4" s="600"/>
      <c r="C4" s="600"/>
      <c r="D4" s="600"/>
      <c r="E4" s="171"/>
      <c r="F4" s="353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3"/>
      <c r="H5" s="171"/>
      <c r="I5" s="278"/>
      <c r="J5" s="171"/>
      <c r="M5" s="227"/>
      <c r="N5" s="227"/>
    </row>
    <row r="6" spans="2:7" ht="18">
      <c r="B6" s="318" t="s">
        <v>135</v>
      </c>
      <c r="C6" s="318"/>
      <c r="D6" s="318"/>
      <c r="F6" s="353"/>
      <c r="G6" s="277"/>
    </row>
    <row r="7" spans="2:7" ht="18">
      <c r="B7" s="318" t="s">
        <v>134</v>
      </c>
      <c r="C7" s="318"/>
      <c r="D7" s="318"/>
      <c r="F7" s="353"/>
      <c r="G7" s="279"/>
    </row>
    <row r="8" spans="2:6" ht="15.75">
      <c r="B8" s="184" t="s">
        <v>152</v>
      </c>
      <c r="C8" s="184"/>
      <c r="D8" s="184"/>
      <c r="F8" s="353"/>
    </row>
    <row r="9" spans="2:14" s="3" customFormat="1" ht="15.75">
      <c r="B9" s="133" t="s">
        <v>258</v>
      </c>
      <c r="C9" s="267"/>
      <c r="D9" s="137"/>
      <c r="E9" s="317">
        <f>+Portada!H39</f>
        <v>3.851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3"/>
    </row>
    <row r="11" spans="2:12" ht="18.75" customHeight="1">
      <c r="B11" s="611" t="s">
        <v>155</v>
      </c>
      <c r="C11" s="607" t="s">
        <v>86</v>
      </c>
      <c r="D11" s="607" t="s">
        <v>163</v>
      </c>
      <c r="E11" s="319"/>
      <c r="F11" s="327"/>
      <c r="G11" s="319"/>
      <c r="H11" s="319"/>
      <c r="I11" s="319"/>
      <c r="J11" s="319"/>
      <c r="K11" s="320"/>
      <c r="L11" s="320"/>
    </row>
    <row r="12" spans="2:12" ht="18.75" customHeight="1">
      <c r="B12" s="612"/>
      <c r="C12" s="608"/>
      <c r="D12" s="608"/>
      <c r="E12" s="319"/>
      <c r="F12" s="327"/>
      <c r="G12" s="319"/>
      <c r="H12" s="319"/>
      <c r="I12" s="319"/>
      <c r="J12" s="319"/>
      <c r="K12" s="320"/>
      <c r="L12" s="320"/>
    </row>
    <row r="13" spans="2:14" s="16" customFormat="1" ht="9.75" customHeight="1">
      <c r="B13" s="253"/>
      <c r="C13" s="173"/>
      <c r="D13" s="174"/>
      <c r="E13" s="319"/>
      <c r="F13" s="354"/>
      <c r="G13" s="321"/>
      <c r="H13" s="321"/>
      <c r="I13" s="321"/>
      <c r="J13" s="319"/>
      <c r="K13" s="321"/>
      <c r="L13" s="321"/>
      <c r="M13" s="230"/>
      <c r="N13" s="230"/>
    </row>
    <row r="14" spans="2:14" s="13" customFormat="1" ht="19.5" customHeight="1">
      <c r="B14" s="67" t="s">
        <v>19</v>
      </c>
      <c r="C14" s="464">
        <f>SUM(C15:C16)</f>
        <v>1533449.16181</v>
      </c>
      <c r="D14" s="462">
        <f>SUM(D15:D16)</f>
        <v>5905312.72213</v>
      </c>
      <c r="E14" s="319"/>
      <c r="F14" s="492"/>
      <c r="G14" s="322"/>
      <c r="H14" s="322"/>
      <c r="I14" s="322"/>
      <c r="J14" s="319"/>
      <c r="K14" s="319"/>
      <c r="L14" s="319"/>
      <c r="M14" s="225"/>
      <c r="N14" s="225"/>
    </row>
    <row r="15" spans="2:14" s="13" customFormat="1" ht="16.5" customHeight="1">
      <c r="B15" s="68" t="s">
        <v>25</v>
      </c>
      <c r="C15" s="463">
        <v>1033367.45818</v>
      </c>
      <c r="D15" s="463">
        <f>ROUND(+C15*$E$9,5)</f>
        <v>3979498.08145</v>
      </c>
      <c r="E15" s="323"/>
      <c r="F15" s="459"/>
      <c r="G15" s="322"/>
      <c r="H15" s="322"/>
      <c r="I15" s="322"/>
      <c r="J15" s="319"/>
      <c r="K15" s="323"/>
      <c r="L15" s="324"/>
      <c r="M15" s="232"/>
      <c r="N15" s="225"/>
    </row>
    <row r="16" spans="2:14" s="13" customFormat="1" ht="16.5" customHeight="1">
      <c r="B16" s="68" t="s">
        <v>24</v>
      </c>
      <c r="C16" s="463">
        <v>500081.70363</v>
      </c>
      <c r="D16" s="463">
        <f>ROUND(+C16*$E$9,5)</f>
        <v>1925814.64068</v>
      </c>
      <c r="E16" s="323"/>
      <c r="F16" s="459"/>
      <c r="G16" s="322"/>
      <c r="H16" s="322"/>
      <c r="I16" s="322"/>
      <c r="J16" s="319"/>
      <c r="K16" s="319"/>
      <c r="L16" s="324"/>
      <c r="M16" s="232"/>
      <c r="N16" s="225"/>
    </row>
    <row r="17" spans="2:14" s="13" customFormat="1" ht="15" customHeight="1">
      <c r="B17" s="15"/>
      <c r="C17" s="465"/>
      <c r="D17" s="463"/>
      <c r="E17" s="319"/>
      <c r="F17" s="432"/>
      <c r="G17" s="322"/>
      <c r="H17" s="322"/>
      <c r="I17" s="322"/>
      <c r="J17" s="319"/>
      <c r="K17" s="323"/>
      <c r="L17" s="324"/>
      <c r="M17" s="232"/>
      <c r="N17" s="225"/>
    </row>
    <row r="18" spans="2:14" s="13" customFormat="1" ht="19.5" customHeight="1">
      <c r="B18" s="18" t="s">
        <v>20</v>
      </c>
      <c r="C18" s="464">
        <f>SUM(C19:C20)</f>
        <v>6982779.26458</v>
      </c>
      <c r="D18" s="462">
        <f>SUM(D19:D20)</f>
        <v>26890682.94789</v>
      </c>
      <c r="E18" s="319"/>
      <c r="F18" s="492"/>
      <c r="G18" s="322"/>
      <c r="H18" s="322"/>
      <c r="I18" s="322"/>
      <c r="J18" s="319"/>
      <c r="K18" s="319"/>
      <c r="L18" s="323"/>
      <c r="M18" s="225"/>
      <c r="N18" s="225"/>
    </row>
    <row r="19" spans="2:14" s="13" customFormat="1" ht="16.5" customHeight="1">
      <c r="B19" s="15" t="s">
        <v>25</v>
      </c>
      <c r="C19" s="463">
        <v>2827223.70904</v>
      </c>
      <c r="D19" s="463">
        <f>ROUND(+C19*$E$9,5)</f>
        <v>10887638.50351</v>
      </c>
      <c r="E19" s="319"/>
      <c r="F19" s="356"/>
      <c r="G19" s="322"/>
      <c r="H19" s="322"/>
      <c r="I19" s="322"/>
      <c r="J19" s="319"/>
      <c r="K19" s="323"/>
      <c r="L19" s="324"/>
      <c r="M19" s="232"/>
      <c r="N19" s="225"/>
    </row>
    <row r="20" spans="2:14" s="13" customFormat="1" ht="16.5" customHeight="1">
      <c r="B20" s="15" t="s">
        <v>110</v>
      </c>
      <c r="C20" s="463">
        <v>4155555.55554</v>
      </c>
      <c r="D20" s="463">
        <f>ROUND(+C20*$E$9,5)</f>
        <v>16003044.44438</v>
      </c>
      <c r="E20" s="319"/>
      <c r="F20" s="357"/>
      <c r="G20" s="322"/>
      <c r="H20" s="322"/>
      <c r="I20" s="322"/>
      <c r="J20" s="319"/>
      <c r="K20" s="323"/>
      <c r="L20" s="324"/>
      <c r="M20" s="232"/>
      <c r="N20" s="225"/>
    </row>
    <row r="21" spans="2:14" s="13" customFormat="1" ht="9.75" customHeight="1">
      <c r="B21" s="15"/>
      <c r="C21" s="465"/>
      <c r="D21" s="463"/>
      <c r="E21" s="319"/>
      <c r="F21" s="358"/>
      <c r="G21" s="322"/>
      <c r="H21" s="322"/>
      <c r="I21" s="322"/>
      <c r="J21" s="319"/>
      <c r="K21" s="323"/>
      <c r="L21" s="323"/>
      <c r="M21" s="225"/>
      <c r="N21" s="225"/>
    </row>
    <row r="22" spans="2:14" s="13" customFormat="1" ht="15" customHeight="1">
      <c r="B22" s="613" t="s">
        <v>60</v>
      </c>
      <c r="C22" s="609">
        <f>+C18+C14</f>
        <v>8516228.42639</v>
      </c>
      <c r="D22" s="609">
        <f>+D18+D14</f>
        <v>32795995.67002</v>
      </c>
      <c r="E22" s="319"/>
      <c r="F22" s="355"/>
      <c r="G22" s="322"/>
      <c r="H22" s="322"/>
      <c r="I22" s="322"/>
      <c r="J22" s="319"/>
      <c r="K22" s="319"/>
      <c r="L22" s="319"/>
      <c r="M22" s="225"/>
      <c r="N22" s="225"/>
    </row>
    <row r="23" spans="2:14" s="16" customFormat="1" ht="15" customHeight="1">
      <c r="B23" s="614"/>
      <c r="C23" s="610"/>
      <c r="D23" s="610"/>
      <c r="E23" s="319"/>
      <c r="F23" s="358"/>
      <c r="G23" s="322"/>
      <c r="H23" s="321"/>
      <c r="I23" s="321"/>
      <c r="J23" s="319"/>
      <c r="K23" s="319"/>
      <c r="L23" s="325"/>
      <c r="M23" s="233"/>
      <c r="N23" s="225"/>
    </row>
    <row r="24" spans="2:14" ht="14.25">
      <c r="B24" s="334"/>
      <c r="C24" s="542"/>
      <c r="D24" s="320"/>
      <c r="E24" s="319"/>
      <c r="F24" s="358"/>
      <c r="G24" s="322"/>
      <c r="H24" s="319"/>
      <c r="I24" s="319"/>
      <c r="J24" s="319"/>
      <c r="K24" s="326"/>
      <c r="L24" s="326"/>
      <c r="M24" s="225"/>
      <c r="N24" s="225"/>
    </row>
    <row r="25" spans="2:14" ht="14.25">
      <c r="B25" s="335"/>
      <c r="C25" s="204"/>
      <c r="D25" s="336"/>
      <c r="E25" s="327"/>
      <c r="F25" s="359"/>
      <c r="G25" s="322"/>
      <c r="H25" s="319"/>
      <c r="I25" s="319"/>
      <c r="J25" s="319"/>
      <c r="K25" s="319"/>
      <c r="L25" s="328"/>
      <c r="M25" s="225"/>
      <c r="N25" s="225"/>
    </row>
    <row r="26" spans="2:14" ht="14.25">
      <c r="B26" s="334"/>
      <c r="C26" s="537"/>
      <c r="D26" s="337"/>
      <c r="E26" s="319"/>
      <c r="F26" s="359"/>
      <c r="G26" s="322"/>
      <c r="H26" s="319"/>
      <c r="I26" s="319"/>
      <c r="J26" s="319"/>
      <c r="K26" s="327"/>
      <c r="L26" s="323"/>
      <c r="M26" s="231"/>
      <c r="N26" s="225"/>
    </row>
    <row r="27" spans="2:14" ht="14.25">
      <c r="B27" s="320"/>
      <c r="D27" s="338"/>
      <c r="E27" s="319"/>
      <c r="F27" s="359"/>
      <c r="G27" s="322"/>
      <c r="H27" s="319"/>
      <c r="I27" s="319"/>
      <c r="J27" s="319"/>
      <c r="K27" s="319"/>
      <c r="L27" s="323"/>
      <c r="M27" s="225"/>
      <c r="N27" s="225"/>
    </row>
    <row r="28" spans="2:14" ht="14.25">
      <c r="B28" s="320"/>
      <c r="C28" s="339"/>
      <c r="D28" s="339"/>
      <c r="E28" s="319"/>
      <c r="F28" s="358"/>
      <c r="G28" s="322"/>
      <c r="H28" s="319"/>
      <c r="I28" s="319"/>
      <c r="J28" s="319"/>
      <c r="K28" s="319"/>
      <c r="L28" s="329"/>
      <c r="M28" s="228"/>
      <c r="N28" s="225"/>
    </row>
    <row r="29" spans="2:14" s="1" customFormat="1" ht="18">
      <c r="B29" s="129" t="s">
        <v>115</v>
      </c>
      <c r="C29" s="129"/>
      <c r="D29" s="129"/>
      <c r="E29" s="319"/>
      <c r="F29" s="358"/>
      <c r="G29" s="322"/>
      <c r="H29" s="330"/>
      <c r="I29" s="330"/>
      <c r="J29" s="319"/>
      <c r="K29" s="319"/>
      <c r="L29" s="319"/>
      <c r="M29" s="225"/>
      <c r="N29" s="225"/>
    </row>
    <row r="30" spans="2:14" s="1" customFormat="1" ht="18">
      <c r="B30" s="318" t="s">
        <v>135</v>
      </c>
      <c r="C30" s="318"/>
      <c r="D30" s="318"/>
      <c r="E30" s="319"/>
      <c r="F30" s="358"/>
      <c r="G30" s="322"/>
      <c r="H30" s="330"/>
      <c r="I30" s="330"/>
      <c r="J30" s="319"/>
      <c r="K30" s="319"/>
      <c r="L30" s="323"/>
      <c r="M30" s="231"/>
      <c r="N30" s="225"/>
    </row>
    <row r="31" spans="2:14" s="1" customFormat="1" ht="18">
      <c r="B31" s="318" t="s">
        <v>136</v>
      </c>
      <c r="C31" s="318"/>
      <c r="D31" s="318"/>
      <c r="E31" s="319"/>
      <c r="F31" s="358"/>
      <c r="G31" s="322"/>
      <c r="H31" s="330"/>
      <c r="I31" s="330"/>
      <c r="J31" s="319"/>
      <c r="K31" s="319"/>
      <c r="L31" s="319"/>
      <c r="M31" s="225"/>
      <c r="N31" s="225"/>
    </row>
    <row r="32" spans="2:14" s="1" customFormat="1" ht="18">
      <c r="B32" s="184" t="s">
        <v>152</v>
      </c>
      <c r="C32" s="184"/>
      <c r="D32" s="184"/>
      <c r="E32" s="319"/>
      <c r="F32" s="358"/>
      <c r="G32" s="322"/>
      <c r="H32" s="319"/>
      <c r="I32" s="319"/>
      <c r="J32" s="319"/>
      <c r="K32" s="319"/>
      <c r="L32" s="319"/>
      <c r="M32" s="225"/>
      <c r="N32" s="225"/>
    </row>
    <row r="33" spans="2:14" s="3" customFormat="1" ht="15.75">
      <c r="B33" s="254" t="str">
        <f>+B9</f>
        <v>Al 31 de enero de 2023</v>
      </c>
      <c r="C33" s="254"/>
      <c r="D33" s="137"/>
      <c r="E33" s="331"/>
      <c r="F33" s="358"/>
      <c r="G33" s="322"/>
      <c r="H33" s="332"/>
      <c r="I33" s="331"/>
      <c r="J33" s="331"/>
      <c r="K33" s="333"/>
      <c r="L33" s="333"/>
      <c r="M33" s="229"/>
      <c r="N33" s="229"/>
    </row>
    <row r="34" spans="2:14" s="3" customFormat="1" ht="9.75" customHeight="1">
      <c r="B34" s="14"/>
      <c r="C34" s="254"/>
      <c r="D34" s="12"/>
      <c r="E34" s="331"/>
      <c r="F34" s="358"/>
      <c r="G34" s="322"/>
      <c r="H34" s="331"/>
      <c r="I34" s="331"/>
      <c r="J34" s="331"/>
      <c r="K34" s="333"/>
      <c r="L34" s="333"/>
      <c r="M34" s="229"/>
      <c r="N34" s="229"/>
    </row>
    <row r="35" spans="2:12" ht="18.75" customHeight="1">
      <c r="B35" s="611" t="s">
        <v>155</v>
      </c>
      <c r="C35" s="607" t="s">
        <v>86</v>
      </c>
      <c r="D35" s="607" t="s">
        <v>163</v>
      </c>
      <c r="E35" s="319"/>
      <c r="F35" s="358"/>
      <c r="G35" s="322"/>
      <c r="H35" s="319"/>
      <c r="I35" s="319"/>
      <c r="J35" s="319"/>
      <c r="K35" s="320"/>
      <c r="L35" s="320"/>
    </row>
    <row r="36" spans="2:14" s="16" customFormat="1" ht="18.75" customHeight="1">
      <c r="B36" s="612"/>
      <c r="C36" s="608"/>
      <c r="D36" s="608"/>
      <c r="E36" s="319"/>
      <c r="F36" s="358"/>
      <c r="G36" s="322"/>
      <c r="H36" s="319"/>
      <c r="I36" s="319"/>
      <c r="J36" s="319"/>
      <c r="K36" s="321"/>
      <c r="L36" s="321"/>
      <c r="M36" s="230"/>
      <c r="N36" s="230"/>
    </row>
    <row r="37" spans="2:14" s="16" customFormat="1" ht="9.75" customHeight="1">
      <c r="B37" s="17"/>
      <c r="C37" s="258"/>
      <c r="D37" s="19"/>
      <c r="E37" s="319"/>
      <c r="F37" s="358"/>
      <c r="G37" s="322"/>
      <c r="H37" s="319"/>
      <c r="I37" s="319"/>
      <c r="J37" s="319"/>
      <c r="K37" s="321"/>
      <c r="L37" s="321"/>
      <c r="M37" s="230"/>
      <c r="N37" s="230"/>
    </row>
    <row r="38" spans="2:14" s="13" customFormat="1" ht="19.5" customHeight="1">
      <c r="B38" s="18" t="s">
        <v>146</v>
      </c>
      <c r="C38" s="464">
        <f>SUM(C39:C40)</f>
        <v>447023.8383</v>
      </c>
      <c r="D38" s="462">
        <f>SUM(D39:D40)</f>
        <v>1721488.8012933</v>
      </c>
      <c r="E38" s="319"/>
      <c r="F38" s="355"/>
      <c r="G38" s="322"/>
      <c r="H38" s="319"/>
      <c r="I38" s="319"/>
      <c r="J38" s="319"/>
      <c r="K38" s="322"/>
      <c r="L38" s="322"/>
      <c r="M38" s="227"/>
      <c r="N38" s="227"/>
    </row>
    <row r="39" spans="2:14" s="13" customFormat="1" ht="16.5" customHeight="1">
      <c r="B39" s="15" t="s">
        <v>25</v>
      </c>
      <c r="C39" s="465">
        <v>0</v>
      </c>
      <c r="D39" s="463">
        <f>+C39*$E$9</f>
        <v>0</v>
      </c>
      <c r="E39" s="319"/>
      <c r="F39" s="357"/>
      <c r="G39" s="322"/>
      <c r="H39" s="319"/>
      <c r="I39" s="319"/>
      <c r="J39" s="319"/>
      <c r="K39" s="322"/>
      <c r="L39" s="322"/>
      <c r="M39" s="227"/>
      <c r="N39" s="227"/>
    </row>
    <row r="40" spans="2:14" s="13" customFormat="1" ht="16.5" customHeight="1">
      <c r="B40" s="15" t="s">
        <v>24</v>
      </c>
      <c r="C40" s="465">
        <v>447023.8383</v>
      </c>
      <c r="D40" s="463">
        <f>+C40*$E$9</f>
        <v>1721488.8012933</v>
      </c>
      <c r="E40" s="319"/>
      <c r="F40" s="358"/>
      <c r="G40" s="322"/>
      <c r="H40" s="319"/>
      <c r="I40" s="319"/>
      <c r="J40" s="319"/>
      <c r="K40" s="322"/>
      <c r="L40" s="322"/>
      <c r="M40" s="227"/>
      <c r="N40" s="227"/>
    </row>
    <row r="41" spans="2:14" s="13" customFormat="1" ht="15" customHeight="1">
      <c r="B41" s="15"/>
      <c r="C41" s="465"/>
      <c r="D41" s="463"/>
      <c r="E41" s="319"/>
      <c r="F41" s="358"/>
      <c r="G41" s="322"/>
      <c r="H41" s="319"/>
      <c r="I41" s="319"/>
      <c r="J41" s="319"/>
      <c r="K41" s="322"/>
      <c r="L41" s="322"/>
      <c r="M41" s="227"/>
      <c r="N41" s="227"/>
    </row>
    <row r="42" spans="2:14" s="13" customFormat="1" ht="19.5" customHeight="1">
      <c r="B42" s="18" t="s">
        <v>147</v>
      </c>
      <c r="C42" s="464">
        <f>SUM(C43:C44)</f>
        <v>386791.15518</v>
      </c>
      <c r="D42" s="462">
        <f>SUM(D43:D44)</f>
        <v>1489532.73859818</v>
      </c>
      <c r="E42" s="319"/>
      <c r="F42" s="355"/>
      <c r="G42" s="322"/>
      <c r="H42" s="319"/>
      <c r="I42" s="319"/>
      <c r="J42" s="319"/>
      <c r="K42" s="322"/>
      <c r="L42" s="322"/>
      <c r="M42" s="227"/>
      <c r="N42" s="227"/>
    </row>
    <row r="43" spans="2:14" s="13" customFormat="1" ht="16.5" customHeight="1">
      <c r="B43" s="15" t="s">
        <v>25</v>
      </c>
      <c r="C43" s="465">
        <v>0</v>
      </c>
      <c r="D43" s="463">
        <f>+C43*$E$9</f>
        <v>0</v>
      </c>
      <c r="E43" s="319"/>
      <c r="F43" s="357"/>
      <c r="G43" s="322"/>
      <c r="H43" s="319"/>
      <c r="I43" s="319"/>
      <c r="J43" s="319"/>
      <c r="K43" s="322"/>
      <c r="L43" s="322"/>
      <c r="M43" s="227"/>
      <c r="N43" s="227"/>
    </row>
    <row r="44" spans="2:14" s="13" customFormat="1" ht="16.5" customHeight="1">
      <c r="B44" s="15" t="s">
        <v>24</v>
      </c>
      <c r="C44" s="465">
        <v>386791.15518</v>
      </c>
      <c r="D44" s="463">
        <f>+C44*$E$9</f>
        <v>1489532.73859818</v>
      </c>
      <c r="E44" s="319"/>
      <c r="F44" s="357"/>
      <c r="G44" s="322"/>
      <c r="H44" s="319"/>
      <c r="I44" s="319"/>
      <c r="J44" s="319"/>
      <c r="K44" s="322"/>
      <c r="L44" s="322"/>
      <c r="M44" s="227"/>
      <c r="N44" s="227"/>
    </row>
    <row r="45" spans="2:14" s="13" customFormat="1" ht="7.5" customHeight="1">
      <c r="B45" s="15"/>
      <c r="C45" s="465"/>
      <c r="D45" s="463"/>
      <c r="E45" s="319"/>
      <c r="F45" s="322"/>
      <c r="G45" s="322"/>
      <c r="H45" s="319"/>
      <c r="I45" s="319"/>
      <c r="J45" s="319"/>
      <c r="K45" s="322"/>
      <c r="L45" s="322"/>
      <c r="M45" s="227"/>
      <c r="N45" s="227"/>
    </row>
    <row r="46" spans="2:14" s="13" customFormat="1" ht="15" customHeight="1">
      <c r="B46" s="613" t="s">
        <v>60</v>
      </c>
      <c r="C46" s="609">
        <f>+C42+C38</f>
        <v>833814.99348</v>
      </c>
      <c r="D46" s="609">
        <f>+D42+D38</f>
        <v>3211021.53989148</v>
      </c>
      <c r="E46" s="319"/>
      <c r="F46" s="322"/>
      <c r="G46" s="322"/>
      <c r="H46" s="319"/>
      <c r="I46" s="319"/>
      <c r="J46" s="319"/>
      <c r="K46" s="322"/>
      <c r="L46" s="322"/>
      <c r="M46" s="227"/>
      <c r="N46" s="227"/>
    </row>
    <row r="47" spans="2:14" s="16" customFormat="1" ht="15" customHeight="1">
      <c r="B47" s="614"/>
      <c r="C47" s="610"/>
      <c r="D47" s="610"/>
      <c r="E47" s="319"/>
      <c r="F47" s="348"/>
      <c r="G47" s="322"/>
      <c r="H47" s="319"/>
      <c r="I47" s="319"/>
      <c r="J47" s="319"/>
      <c r="K47" s="321"/>
      <c r="L47" s="321"/>
      <c r="M47" s="230"/>
      <c r="N47" s="230"/>
    </row>
    <row r="48" spans="2:12" ht="16.5" customHeight="1">
      <c r="B48" s="28" t="s">
        <v>138</v>
      </c>
      <c r="C48" s="511"/>
      <c r="D48" s="204"/>
      <c r="E48" s="319"/>
      <c r="F48" s="322"/>
      <c r="G48" s="322"/>
      <c r="H48" s="319"/>
      <c r="I48" s="319"/>
      <c r="J48" s="319"/>
      <c r="K48" s="320"/>
      <c r="L48" s="320"/>
    </row>
    <row r="49" spans="2:12" ht="12.75">
      <c r="B49" s="2" t="s">
        <v>139</v>
      </c>
      <c r="C49" s="511"/>
      <c r="D49" s="204"/>
      <c r="E49" s="319"/>
      <c r="F49" s="319"/>
      <c r="G49" s="319"/>
      <c r="H49" s="319"/>
      <c r="I49" s="319"/>
      <c r="J49" s="319"/>
      <c r="K49" s="320"/>
      <c r="L49" s="320"/>
    </row>
    <row r="50" spans="2:12" ht="12.75">
      <c r="B50" s="320"/>
      <c r="C50" s="493"/>
      <c r="D50" s="340"/>
      <c r="E50" s="319"/>
      <c r="F50" s="319"/>
      <c r="G50" s="319"/>
      <c r="H50" s="319"/>
      <c r="I50" s="319"/>
      <c r="J50" s="319"/>
      <c r="K50" s="320"/>
      <c r="L50" s="320"/>
    </row>
    <row r="51" spans="2:12" ht="12.75">
      <c r="B51" s="320"/>
      <c r="C51" s="340"/>
      <c r="D51" s="435"/>
      <c r="E51" s="319"/>
      <c r="F51" s="319"/>
      <c r="G51" s="319"/>
      <c r="H51" s="319"/>
      <c r="I51" s="319"/>
      <c r="J51" s="319"/>
      <c r="K51" s="320"/>
      <c r="L51" s="320"/>
    </row>
    <row r="52" spans="2:4" ht="12.75">
      <c r="B52" s="320"/>
      <c r="C52" s="496"/>
      <c r="D52" s="320"/>
    </row>
    <row r="53" spans="2:4" ht="12.75">
      <c r="B53" s="320"/>
      <c r="C53" s="340"/>
      <c r="D53" s="340"/>
    </row>
    <row r="54" spans="2:4" ht="12.75">
      <c r="B54" s="320"/>
      <c r="C54" s="340"/>
      <c r="D54" s="340"/>
    </row>
    <row r="55" spans="2:4" ht="12.75">
      <c r="B55" s="320"/>
      <c r="C55" s="340"/>
      <c r="D55" s="340"/>
    </row>
    <row r="56" spans="2:4" ht="12.75">
      <c r="B56" s="320"/>
      <c r="C56" s="432"/>
      <c r="D56" s="432"/>
    </row>
    <row r="57" spans="2:4" ht="12.75">
      <c r="B57" s="320"/>
      <c r="C57" s="340"/>
      <c r="D57" s="340"/>
    </row>
    <row r="58" spans="2:4" ht="12.75">
      <c r="B58" s="320"/>
      <c r="C58" s="340"/>
      <c r="D58" s="340"/>
    </row>
    <row r="59" spans="2:4" ht="12.75">
      <c r="B59" s="320"/>
      <c r="C59" s="340"/>
      <c r="D59" s="320"/>
    </row>
    <row r="60" spans="2:4" ht="12.75">
      <c r="B60" s="320"/>
      <c r="C60" s="341"/>
      <c r="D60" s="320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8" t="s">
        <v>135</v>
      </c>
      <c r="C6" s="318"/>
      <c r="D6" s="318"/>
      <c r="M6" s="190"/>
    </row>
    <row r="7" spans="2:13" s="136" customFormat="1" ht="18">
      <c r="B7" s="318" t="s">
        <v>134</v>
      </c>
      <c r="C7" s="318"/>
      <c r="D7" s="318"/>
      <c r="M7" s="190"/>
    </row>
    <row r="8" spans="2:13" s="136" customFormat="1" ht="18">
      <c r="B8" s="342" t="s">
        <v>37</v>
      </c>
      <c r="C8" s="184"/>
      <c r="D8" s="184"/>
      <c r="M8" s="190"/>
    </row>
    <row r="9" spans="2:13" s="136" customFormat="1" ht="18">
      <c r="B9" s="619" t="str">
        <f>+'DEP-C2'!B9</f>
        <v>Al 31 de enero de 2023</v>
      </c>
      <c r="C9" s="619"/>
      <c r="D9" s="265"/>
      <c r="E9" s="317">
        <f>+Portada!H39</f>
        <v>3.851</v>
      </c>
      <c r="M9" s="190"/>
    </row>
    <row r="10" spans="2:13" s="65" customFormat="1" ht="9.75" customHeight="1">
      <c r="B10" s="622"/>
      <c r="C10" s="622"/>
      <c r="D10" s="622"/>
      <c r="E10" s="282"/>
      <c r="M10" s="165"/>
    </row>
    <row r="11" spans="2:4" ht="16.5" customHeight="1">
      <c r="B11" s="623" t="s">
        <v>93</v>
      </c>
      <c r="C11" s="617" t="s">
        <v>86</v>
      </c>
      <c r="D11" s="607" t="s">
        <v>163</v>
      </c>
    </row>
    <row r="12" spans="2:13" s="81" customFormat="1" ht="16.5" customHeight="1">
      <c r="B12" s="624"/>
      <c r="C12" s="618"/>
      <c r="D12" s="608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6">
        <f>SUM(C15:C16)</f>
        <v>1588161.89884</v>
      </c>
      <c r="D14" s="382">
        <f>SUM(D15:D16)</f>
        <v>6116011.47243</v>
      </c>
      <c r="M14" s="166"/>
    </row>
    <row r="15" spans="2:13" s="81" customFormat="1" ht="16.5">
      <c r="B15" s="80" t="s">
        <v>25</v>
      </c>
      <c r="C15" s="467">
        <v>1399736.62133</v>
      </c>
      <c r="D15" s="388">
        <f>ROUND(+C15*$E$9,5)</f>
        <v>5390385.72874</v>
      </c>
      <c r="E15" s="283"/>
      <c r="F15" s="432"/>
      <c r="G15" s="284"/>
      <c r="M15" s="166"/>
    </row>
    <row r="16" spans="2:13" s="81" customFormat="1" ht="16.5">
      <c r="B16" s="80" t="s">
        <v>24</v>
      </c>
      <c r="C16" s="467">
        <v>188425.27751</v>
      </c>
      <c r="D16" s="388">
        <f>ROUND(+C16*$E$9,5)</f>
        <v>725625.74369</v>
      </c>
      <c r="E16" s="283"/>
      <c r="F16" s="432"/>
      <c r="M16" s="166"/>
    </row>
    <row r="17" spans="2:13" s="81" customFormat="1" ht="15" customHeight="1">
      <c r="B17" s="64"/>
      <c r="C17" s="468"/>
      <c r="D17" s="381"/>
      <c r="M17" s="166"/>
    </row>
    <row r="18" spans="2:13" s="81" customFormat="1" ht="16.5">
      <c r="B18" s="163" t="s">
        <v>62</v>
      </c>
      <c r="C18" s="466">
        <f>SUM(C19:C20)</f>
        <v>6928066.527549999</v>
      </c>
      <c r="D18" s="466">
        <f>SUM(D19:D20)</f>
        <v>26679984.197600007</v>
      </c>
      <c r="E18" s="283"/>
      <c r="M18" s="166"/>
    </row>
    <row r="19" spans="2:13" s="81" customFormat="1" ht="16.5">
      <c r="B19" s="80" t="s">
        <v>25</v>
      </c>
      <c r="C19" s="467">
        <f>+C23+C27+C31</f>
        <v>2460854.54589</v>
      </c>
      <c r="D19" s="467">
        <f>+D23+D27+D31</f>
        <v>9476750.856220001</v>
      </c>
      <c r="M19" s="166"/>
    </row>
    <row r="20" spans="2:13" s="81" customFormat="1" ht="16.5">
      <c r="B20" s="80" t="s">
        <v>24</v>
      </c>
      <c r="C20" s="467">
        <f>+C24+C28+C32</f>
        <v>4467211.981659999</v>
      </c>
      <c r="D20" s="467">
        <f>+D24+D28+D32</f>
        <v>17203233.341380004</v>
      </c>
      <c r="M20" s="166"/>
    </row>
    <row r="21" spans="2:13" s="81" customFormat="1" ht="9.75" customHeight="1">
      <c r="B21" s="82"/>
      <c r="C21" s="467"/>
      <c r="D21" s="388"/>
      <c r="M21" s="166"/>
    </row>
    <row r="22" spans="2:13" s="81" customFormat="1" ht="16.5">
      <c r="B22" s="344" t="s">
        <v>174</v>
      </c>
      <c r="C22" s="469">
        <f>SUM(C23:C24)</f>
        <v>6512416.24527</v>
      </c>
      <c r="D22" s="380">
        <f>SUM(D23:D24)</f>
        <v>25079314.96054</v>
      </c>
      <c r="G22" s="283"/>
      <c r="I22" s="285"/>
      <c r="M22" s="166"/>
    </row>
    <row r="23" spans="2:13" s="81" customFormat="1" ht="16.5">
      <c r="B23" s="345" t="s">
        <v>25</v>
      </c>
      <c r="C23" s="468">
        <v>2126124.95318</v>
      </c>
      <c r="D23" s="381">
        <f>ROUND(+C23*$E$9,5)</f>
        <v>8187707.1947</v>
      </c>
      <c r="G23" s="283"/>
      <c r="I23" s="285"/>
      <c r="M23" s="166"/>
    </row>
    <row r="24" spans="2:13" s="81" customFormat="1" ht="16.5">
      <c r="B24" s="345" t="s">
        <v>24</v>
      </c>
      <c r="C24" s="468">
        <v>4386291.29209</v>
      </c>
      <c r="D24" s="381">
        <f>ROUND(+C24*$E$9,5)</f>
        <v>16891607.76584</v>
      </c>
      <c r="M24" s="166"/>
    </row>
    <row r="25" spans="2:13" s="81" customFormat="1" ht="9.75" customHeight="1">
      <c r="B25" s="82"/>
      <c r="C25" s="467"/>
      <c r="D25" s="388"/>
      <c r="M25" s="166"/>
    </row>
    <row r="26" spans="2:13" s="81" customFormat="1" ht="16.5">
      <c r="B26" s="344" t="s">
        <v>175</v>
      </c>
      <c r="C26" s="469">
        <f>SUM(C27:C28)</f>
        <v>153406.48595</v>
      </c>
      <c r="D26" s="380">
        <f>SUM(D27:D28)</f>
        <v>590768.37739</v>
      </c>
      <c r="G26" s="286"/>
      <c r="M26" s="166"/>
    </row>
    <row r="27" spans="2:13" s="81" customFormat="1" ht="16.5">
      <c r="B27" s="345" t="s">
        <v>25</v>
      </c>
      <c r="C27" s="468">
        <v>79578.88366</v>
      </c>
      <c r="D27" s="381">
        <f>ROUND(+C27*$E$9,5)</f>
        <v>306458.28097</v>
      </c>
      <c r="M27" s="166"/>
    </row>
    <row r="28" spans="2:13" s="81" customFormat="1" ht="16.5">
      <c r="B28" s="345" t="s">
        <v>24</v>
      </c>
      <c r="C28" s="468">
        <v>73827.60229</v>
      </c>
      <c r="D28" s="381">
        <f>ROUND(+C28*$E$9,5)</f>
        <v>284310.09642</v>
      </c>
      <c r="M28" s="166"/>
    </row>
    <row r="29" spans="2:13" s="81" customFormat="1" ht="9.75" customHeight="1">
      <c r="B29" s="82"/>
      <c r="C29" s="381"/>
      <c r="D29" s="388"/>
      <c r="M29" s="166"/>
    </row>
    <row r="30" spans="2:13" s="81" customFormat="1" ht="16.5">
      <c r="B30" s="346" t="s">
        <v>176</v>
      </c>
      <c r="C30" s="469">
        <f>+SUM(C31:C32)</f>
        <v>262243.79633</v>
      </c>
      <c r="D30" s="380">
        <f>SUM(D31:D32)</f>
        <v>1009900.85967</v>
      </c>
      <c r="M30" s="166"/>
    </row>
    <row r="31" spans="2:13" s="81" customFormat="1" ht="16.5">
      <c r="B31" s="345" t="s">
        <v>25</v>
      </c>
      <c r="C31" s="468">
        <v>255150.70905</v>
      </c>
      <c r="D31" s="381">
        <f>ROUND(+C31*$E$9,5)</f>
        <v>982585.38055</v>
      </c>
      <c r="M31" s="166"/>
    </row>
    <row r="32" spans="2:13" s="81" customFormat="1" ht="16.5">
      <c r="B32" s="345" t="s">
        <v>24</v>
      </c>
      <c r="C32" s="468">
        <v>7093.08728</v>
      </c>
      <c r="D32" s="381">
        <f>ROUND(+C32*$E$9,5)</f>
        <v>27315.47912</v>
      </c>
      <c r="M32" s="166"/>
    </row>
    <row r="33" spans="2:13" s="81" customFormat="1" ht="9.75" customHeight="1">
      <c r="B33" s="193"/>
      <c r="C33" s="468"/>
      <c r="D33" s="381"/>
      <c r="M33" s="166"/>
    </row>
    <row r="34" spans="2:13" s="81" customFormat="1" ht="15" customHeight="1">
      <c r="B34" s="620" t="s">
        <v>60</v>
      </c>
      <c r="C34" s="615">
        <f>+C18+C14</f>
        <v>8516228.42639</v>
      </c>
      <c r="D34" s="615">
        <f>+D18+D14</f>
        <v>32795995.670030005</v>
      </c>
      <c r="M34" s="166"/>
    </row>
    <row r="35" spans="2:13" s="81" customFormat="1" ht="15" customHeight="1">
      <c r="B35" s="621"/>
      <c r="C35" s="616"/>
      <c r="D35" s="616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8" t="s">
        <v>135</v>
      </c>
      <c r="C41" s="318"/>
      <c r="D41" s="318"/>
      <c r="M41" s="190"/>
    </row>
    <row r="42" spans="2:13" s="136" customFormat="1" ht="18">
      <c r="B42" s="318" t="s">
        <v>136</v>
      </c>
      <c r="C42" s="318"/>
      <c r="D42" s="318"/>
      <c r="M42" s="190"/>
    </row>
    <row r="43" spans="2:13" s="136" customFormat="1" ht="18">
      <c r="B43" s="342" t="s">
        <v>37</v>
      </c>
      <c r="C43" s="184"/>
      <c r="D43" s="184"/>
      <c r="M43" s="190"/>
    </row>
    <row r="44" spans="2:13" s="136" customFormat="1" ht="18">
      <c r="B44" s="619" t="str">
        <f>+B9</f>
        <v>Al 31 de enero de 2023</v>
      </c>
      <c r="C44" s="619"/>
      <c r="D44" s="252"/>
      <c r="M44" s="190"/>
    </row>
    <row r="45" spans="2:13" s="65" customFormat="1" ht="9.75" customHeight="1">
      <c r="B45" s="622"/>
      <c r="C45" s="622"/>
      <c r="D45" s="622"/>
      <c r="M45" s="165"/>
    </row>
    <row r="46" spans="2:4" ht="16.5" customHeight="1">
      <c r="B46" s="623" t="s">
        <v>93</v>
      </c>
      <c r="C46" s="617" t="s">
        <v>86</v>
      </c>
      <c r="D46" s="607" t="s">
        <v>163</v>
      </c>
    </row>
    <row r="47" spans="2:13" s="81" customFormat="1" ht="16.5" customHeight="1">
      <c r="B47" s="624"/>
      <c r="C47" s="618"/>
      <c r="D47" s="608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6">
        <f>SUM(C50:C51)</f>
        <v>382373.8383</v>
      </c>
      <c r="D49" s="382">
        <f>SUM(D50:D51)</f>
        <v>1472521.65129</v>
      </c>
      <c r="F49" s="348"/>
      <c r="M49" s="166"/>
    </row>
    <row r="50" spans="2:13" s="81" customFormat="1" ht="16.5">
      <c r="B50" s="80" t="s">
        <v>24</v>
      </c>
      <c r="C50" s="467">
        <v>382373.8383</v>
      </c>
      <c r="D50" s="388">
        <f>ROUND(+C50*$E$9,5)</f>
        <v>1472521.65129</v>
      </c>
      <c r="F50" s="347"/>
      <c r="M50" s="166"/>
    </row>
    <row r="51" spans="2:13" s="81" customFormat="1" ht="21.75" customHeight="1" hidden="1">
      <c r="B51" s="82" t="s">
        <v>64</v>
      </c>
      <c r="C51" s="467">
        <v>0</v>
      </c>
      <c r="D51" s="388">
        <f>+C51*$E$9</f>
        <v>0</v>
      </c>
      <c r="M51" s="166"/>
    </row>
    <row r="52" spans="2:13" s="81" customFormat="1" ht="15" customHeight="1">
      <c r="B52" s="64"/>
      <c r="C52" s="468"/>
      <c r="D52" s="381"/>
      <c r="M52" s="166"/>
    </row>
    <row r="53" spans="2:13" s="81" customFormat="1" ht="16.5">
      <c r="B53" s="163" t="s">
        <v>62</v>
      </c>
      <c r="C53" s="466">
        <f>SUM(C54:C55)</f>
        <v>451441.15518</v>
      </c>
      <c r="D53" s="466">
        <f>SUM(D54:D55)</f>
        <v>1738499.8886</v>
      </c>
      <c r="F53" s="348"/>
      <c r="M53" s="166"/>
    </row>
    <row r="54" spans="2:13" s="81" customFormat="1" ht="16.5">
      <c r="B54" s="80" t="s">
        <v>25</v>
      </c>
      <c r="C54" s="467">
        <f>+C58</f>
        <v>0</v>
      </c>
      <c r="D54" s="388">
        <f>+D58</f>
        <v>0</v>
      </c>
      <c r="F54" s="348"/>
      <c r="M54" s="166"/>
    </row>
    <row r="55" spans="2:13" s="81" customFormat="1" ht="16.5">
      <c r="B55" s="80" t="s">
        <v>24</v>
      </c>
      <c r="C55" s="467">
        <f>+C59</f>
        <v>451441.15518</v>
      </c>
      <c r="D55" s="388">
        <f>+D59</f>
        <v>1738499.8886</v>
      </c>
      <c r="F55" s="347"/>
      <c r="M55" s="166"/>
    </row>
    <row r="56" spans="2:13" s="81" customFormat="1" ht="9.75" customHeight="1">
      <c r="B56" s="82"/>
      <c r="C56" s="467"/>
      <c r="D56" s="388"/>
      <c r="M56" s="166"/>
    </row>
    <row r="57" spans="2:13" s="81" customFormat="1" ht="16.5">
      <c r="B57" s="344" t="s">
        <v>174</v>
      </c>
      <c r="C57" s="469">
        <f>SUM(C58:C59)</f>
        <v>451441.15518</v>
      </c>
      <c r="D57" s="469">
        <f>SUM(D58:D59)</f>
        <v>1738499.8886</v>
      </c>
      <c r="F57" s="348"/>
      <c r="M57" s="166"/>
    </row>
    <row r="58" spans="2:13" s="81" customFormat="1" ht="16.5" customHeight="1">
      <c r="B58" s="345" t="s">
        <v>25</v>
      </c>
      <c r="C58" s="468">
        <v>0</v>
      </c>
      <c r="D58" s="381">
        <f>ROUND(+C58*$E$9,5)</f>
        <v>0</v>
      </c>
      <c r="F58" s="347"/>
      <c r="M58" s="166"/>
    </row>
    <row r="59" spans="2:13" s="81" customFormat="1" ht="16.5" customHeight="1">
      <c r="B59" s="345" t="s">
        <v>24</v>
      </c>
      <c r="C59" s="468">
        <v>451441.15518</v>
      </c>
      <c r="D59" s="381">
        <f>ROUND(+C59*$E$9,5)</f>
        <v>1738499.8886</v>
      </c>
      <c r="F59" s="205"/>
      <c r="M59" s="166"/>
    </row>
    <row r="60" spans="2:13" s="81" customFormat="1" ht="9.75" customHeight="1">
      <c r="B60" s="193"/>
      <c r="C60" s="468"/>
      <c r="D60" s="381"/>
      <c r="M60" s="166"/>
    </row>
    <row r="61" spans="2:13" s="81" customFormat="1" ht="15" customHeight="1">
      <c r="B61" s="620" t="s">
        <v>60</v>
      </c>
      <c r="C61" s="615">
        <f>+C53+C49</f>
        <v>833814.99348</v>
      </c>
      <c r="D61" s="615">
        <f>+D53+D49</f>
        <v>3211021.5398899997</v>
      </c>
      <c r="M61" s="166"/>
    </row>
    <row r="62" spans="2:13" s="81" customFormat="1" ht="15" customHeight="1">
      <c r="B62" s="621"/>
      <c r="C62" s="616"/>
      <c r="D62" s="616"/>
      <c r="F62" s="348"/>
      <c r="M62" s="166"/>
    </row>
    <row r="63" ht="12.75">
      <c r="C63" s="511"/>
    </row>
    <row r="64" spans="3:6" ht="12.75">
      <c r="C64" s="192"/>
      <c r="D64" s="131"/>
      <c r="F64" s="349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8" t="s">
        <v>135</v>
      </c>
      <c r="C6" s="318"/>
      <c r="D6" s="318"/>
      <c r="K6" s="132"/>
    </row>
    <row r="7" spans="2:11" ht="18">
      <c r="B7" s="318" t="s">
        <v>134</v>
      </c>
      <c r="C7" s="318"/>
      <c r="D7" s="318"/>
      <c r="K7" s="132"/>
    </row>
    <row r="8" spans="2:11" ht="16.5">
      <c r="B8" s="342" t="s">
        <v>32</v>
      </c>
      <c r="C8" s="184"/>
      <c r="D8" s="184"/>
      <c r="K8" s="132"/>
    </row>
    <row r="9" spans="2:11" s="136" customFormat="1" ht="18">
      <c r="B9" s="133" t="str">
        <f>+'DEP-C2'!B9</f>
        <v>Al 31 de enero de 2023</v>
      </c>
      <c r="C9" s="133"/>
      <c r="D9" s="265"/>
      <c r="E9" s="317">
        <f>+Portada!H39</f>
        <v>3.851</v>
      </c>
      <c r="K9" s="190"/>
    </row>
    <row r="10" spans="2:11" ht="9.75" customHeight="1">
      <c r="B10" s="625"/>
      <c r="C10" s="625"/>
      <c r="D10" s="625"/>
      <c r="K10" s="132"/>
    </row>
    <row r="11" spans="2:11" ht="16.5" customHeight="1">
      <c r="B11" s="623" t="s">
        <v>94</v>
      </c>
      <c r="C11" s="617" t="s">
        <v>86</v>
      </c>
      <c r="D11" s="607" t="s">
        <v>210</v>
      </c>
      <c r="K11" s="132"/>
    </row>
    <row r="12" spans="2:11" ht="16.5" customHeight="1">
      <c r="B12" s="624"/>
      <c r="C12" s="618"/>
      <c r="D12" s="608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50" t="s">
        <v>88</v>
      </c>
      <c r="C14" s="380">
        <f>+C16+C20</f>
        <v>4655637.25917</v>
      </c>
      <c r="D14" s="380">
        <f>+D16+D20</f>
        <v>17928859.08506</v>
      </c>
      <c r="E14" s="214"/>
      <c r="F14" s="348"/>
      <c r="H14" s="206"/>
      <c r="I14" s="206"/>
      <c r="K14" s="165"/>
    </row>
    <row r="15" spans="2:11" s="65" customFormat="1" ht="9.75" customHeight="1">
      <c r="B15" s="63"/>
      <c r="C15" s="470"/>
      <c r="D15" s="470"/>
      <c r="K15" s="165"/>
    </row>
    <row r="16" spans="2:11" s="65" customFormat="1" ht="16.5" customHeight="1">
      <c r="B16" s="351" t="s">
        <v>33</v>
      </c>
      <c r="C16" s="380">
        <f>SUM(C17:C18)</f>
        <v>4155555.55554</v>
      </c>
      <c r="D16" s="380">
        <f>SUM(D17:D18)</f>
        <v>16003044.44438</v>
      </c>
      <c r="E16" s="508"/>
      <c r="F16" s="461"/>
      <c r="H16" s="207"/>
      <c r="K16" s="165"/>
    </row>
    <row r="17" spans="2:11" s="65" customFormat="1" ht="16.5" customHeight="1">
      <c r="B17" s="343" t="s">
        <v>216</v>
      </c>
      <c r="C17" s="381">
        <v>3000000</v>
      </c>
      <c r="D17" s="381">
        <f>ROUND(+C17*$E$9,5)</f>
        <v>11553000</v>
      </c>
      <c r="F17" s="347"/>
      <c r="H17" s="207"/>
      <c r="K17" s="165"/>
    </row>
    <row r="18" spans="2:11" s="65" customFormat="1" ht="16.5" customHeight="1">
      <c r="B18" s="343" t="s">
        <v>227</v>
      </c>
      <c r="C18" s="381">
        <v>1155555.55554</v>
      </c>
      <c r="D18" s="381">
        <f>ROUND(+C18*$E$9,5)</f>
        <v>4450044.44438</v>
      </c>
      <c r="F18" s="347"/>
      <c r="H18" s="207"/>
      <c r="K18" s="165"/>
    </row>
    <row r="19" spans="2:11" s="65" customFormat="1" ht="12" customHeight="1">
      <c r="B19" s="64"/>
      <c r="C19" s="381"/>
      <c r="D19" s="381"/>
      <c r="H19" s="207"/>
      <c r="K19" s="165"/>
    </row>
    <row r="20" spans="2:11" s="65" customFormat="1" ht="16.5" customHeight="1">
      <c r="B20" s="351" t="s">
        <v>34</v>
      </c>
      <c r="C20" s="380">
        <f>SUM(C21:C26)</f>
        <v>500081.70363</v>
      </c>
      <c r="D20" s="380">
        <f>SUM(D21:D26)</f>
        <v>1925814.64068</v>
      </c>
      <c r="E20" s="508"/>
      <c r="F20" s="461"/>
      <c r="H20" s="207"/>
      <c r="K20" s="165"/>
    </row>
    <row r="21" spans="2:11" s="65" customFormat="1" ht="16.5" customHeight="1">
      <c r="B21" s="343" t="s">
        <v>217</v>
      </c>
      <c r="C21" s="381">
        <v>308823.23256</v>
      </c>
      <c r="D21" s="381">
        <f aca="true" t="shared" si="0" ref="D21:D26">ROUND(+C21*$E$9,5)</f>
        <v>1189278.26859</v>
      </c>
      <c r="E21" s="446"/>
      <c r="F21" s="347"/>
      <c r="H21" s="207"/>
      <c r="K21" s="165"/>
    </row>
    <row r="22" spans="2:11" s="65" customFormat="1" ht="16.5" customHeight="1">
      <c r="B22" s="343" t="s">
        <v>180</v>
      </c>
      <c r="C22" s="381">
        <v>136029.3557</v>
      </c>
      <c r="D22" s="381">
        <f t="shared" si="0"/>
        <v>523849.0488</v>
      </c>
      <c r="E22" s="446"/>
      <c r="F22" s="347"/>
      <c r="H22" s="207"/>
      <c r="K22" s="165"/>
    </row>
    <row r="23" spans="2:11" s="65" customFormat="1" ht="16.5" customHeight="1">
      <c r="B23" s="343" t="s">
        <v>0</v>
      </c>
      <c r="C23" s="381">
        <v>53713.79883</v>
      </c>
      <c r="D23" s="381">
        <f t="shared" si="0"/>
        <v>206851.83929</v>
      </c>
      <c r="E23" s="446"/>
      <c r="F23" s="347"/>
      <c r="G23" s="288"/>
      <c r="H23" s="207"/>
      <c r="K23" s="165"/>
    </row>
    <row r="24" spans="2:11" s="65" customFormat="1" ht="16.5" customHeight="1" hidden="1">
      <c r="B24" s="343" t="s">
        <v>235</v>
      </c>
      <c r="C24" s="381"/>
      <c r="D24" s="381">
        <f t="shared" si="0"/>
        <v>0</v>
      </c>
      <c r="E24" s="446"/>
      <c r="F24" s="347"/>
      <c r="G24" s="288"/>
      <c r="H24" s="207"/>
      <c r="K24" s="165"/>
    </row>
    <row r="25" spans="2:11" s="65" customFormat="1" ht="16.5" customHeight="1">
      <c r="B25" s="343" t="s">
        <v>183</v>
      </c>
      <c r="C25" s="381">
        <v>1515.31654</v>
      </c>
      <c r="D25" s="381">
        <f t="shared" si="0"/>
        <v>5835.484</v>
      </c>
      <c r="E25" s="446"/>
      <c r="F25" s="347"/>
      <c r="G25" s="206"/>
      <c r="H25" s="206"/>
      <c r="K25" s="165"/>
    </row>
    <row r="26" spans="2:11" s="65" customFormat="1" ht="16.5" customHeight="1" hidden="1">
      <c r="B26" s="343" t="s">
        <v>181</v>
      </c>
      <c r="C26" s="381">
        <v>0</v>
      </c>
      <c r="D26" s="381">
        <f t="shared" si="0"/>
        <v>0</v>
      </c>
      <c r="F26" s="347"/>
      <c r="G26" s="206"/>
      <c r="H26" s="206"/>
      <c r="I26" s="206"/>
      <c r="K26" s="165"/>
    </row>
    <row r="27" spans="2:8" s="65" customFormat="1" ht="15" customHeight="1">
      <c r="B27" s="66"/>
      <c r="C27" s="381"/>
      <c r="D27" s="381"/>
      <c r="G27" s="223"/>
      <c r="H27" s="223"/>
    </row>
    <row r="28" spans="2:8" s="65" customFormat="1" ht="16.5" customHeight="1">
      <c r="B28" s="350" t="s">
        <v>89</v>
      </c>
      <c r="C28" s="380">
        <f>+C30+C39</f>
        <v>3860591.1672199992</v>
      </c>
      <c r="D28" s="380">
        <f>+D30+D39</f>
        <v>14867136.58496218</v>
      </c>
      <c r="F28" s="348"/>
      <c r="G28" s="206"/>
      <c r="H28" s="206"/>
    </row>
    <row r="29" spans="2:4" s="65" customFormat="1" ht="9.75" customHeight="1">
      <c r="B29" s="63"/>
      <c r="C29" s="470"/>
      <c r="D29" s="470"/>
    </row>
    <row r="30" spans="2:8" s="65" customFormat="1" ht="16.5" customHeight="1">
      <c r="B30" s="351" t="s">
        <v>33</v>
      </c>
      <c r="C30" s="380">
        <f>SUM(C31:C37)</f>
        <v>2827223.7090399996</v>
      </c>
      <c r="D30" s="380">
        <f>SUM(D31:D37)</f>
        <v>10887638.50351</v>
      </c>
      <c r="E30" s="508"/>
      <c r="F30" s="461"/>
      <c r="H30" s="207"/>
    </row>
    <row r="31" spans="2:8" s="65" customFormat="1" ht="16.5" customHeight="1">
      <c r="B31" s="343" t="s">
        <v>215</v>
      </c>
      <c r="C31" s="381">
        <v>2156057.21839</v>
      </c>
      <c r="D31" s="381">
        <f aca="true" t="shared" si="1" ref="D31:D37">ROUND(+C31*$E$9,5)</f>
        <v>8302976.34802</v>
      </c>
      <c r="E31" s="379"/>
      <c r="F31" s="442"/>
      <c r="H31" s="207"/>
    </row>
    <row r="32" spans="2:8" s="65" customFormat="1" ht="16.5" customHeight="1">
      <c r="B32" s="343" t="s">
        <v>229</v>
      </c>
      <c r="C32" s="381">
        <v>235024.20199</v>
      </c>
      <c r="D32" s="381">
        <f t="shared" si="1"/>
        <v>905078.20186</v>
      </c>
      <c r="E32" s="379"/>
      <c r="F32" s="442"/>
      <c r="H32" s="207"/>
    </row>
    <row r="33" spans="2:8" s="65" customFormat="1" ht="16.5" customHeight="1">
      <c r="B33" s="343" t="s">
        <v>178</v>
      </c>
      <c r="C33" s="381">
        <v>168871.0004</v>
      </c>
      <c r="D33" s="381">
        <f t="shared" si="1"/>
        <v>650322.22254</v>
      </c>
      <c r="E33" s="379"/>
      <c r="F33" s="442"/>
      <c r="H33" s="207"/>
    </row>
    <row r="34" spans="2:8" s="65" customFormat="1" ht="16.5" customHeight="1">
      <c r="B34" s="343" t="s">
        <v>255</v>
      </c>
      <c r="C34" s="381">
        <v>150000</v>
      </c>
      <c r="D34" s="381">
        <f>ROUND(+C34*$E$9,5)</f>
        <v>577650</v>
      </c>
      <c r="E34" s="379"/>
      <c r="F34" s="442"/>
      <c r="H34" s="207"/>
    </row>
    <row r="35" spans="2:8" s="65" customFormat="1" ht="16.5" customHeight="1">
      <c r="B35" s="343" t="s">
        <v>184</v>
      </c>
      <c r="C35" s="381">
        <v>72448.71462</v>
      </c>
      <c r="D35" s="381">
        <f t="shared" si="1"/>
        <v>279000</v>
      </c>
      <c r="E35" s="379"/>
      <c r="F35" s="442"/>
      <c r="H35" s="207"/>
    </row>
    <row r="36" spans="2:8" s="65" customFormat="1" ht="16.5" customHeight="1">
      <c r="B36" s="343" t="s">
        <v>230</v>
      </c>
      <c r="C36" s="381">
        <v>39038.462</v>
      </c>
      <c r="D36" s="381">
        <f t="shared" si="1"/>
        <v>150337.11716</v>
      </c>
      <c r="E36" s="379"/>
      <c r="F36" s="442"/>
      <c r="H36" s="207"/>
    </row>
    <row r="37" spans="2:8" s="65" customFormat="1" ht="16.5" customHeight="1">
      <c r="B37" s="343" t="s">
        <v>177</v>
      </c>
      <c r="C37" s="381">
        <v>5784.11164</v>
      </c>
      <c r="D37" s="381">
        <f t="shared" si="1"/>
        <v>22274.61393</v>
      </c>
      <c r="E37" s="379"/>
      <c r="F37" s="442"/>
      <c r="H37" s="207"/>
    </row>
    <row r="38" spans="2:8" s="65" customFormat="1" ht="12" customHeight="1">
      <c r="B38" s="64"/>
      <c r="C38" s="381"/>
      <c r="D38" s="381"/>
      <c r="H38" s="207"/>
    </row>
    <row r="39" spans="2:8" s="65" customFormat="1" ht="16.5" customHeight="1">
      <c r="B39" s="351" t="s">
        <v>34</v>
      </c>
      <c r="C39" s="380">
        <f>SUM(C40:C46)</f>
        <v>1033367.4581799998</v>
      </c>
      <c r="D39" s="380">
        <f>SUM(D40:D46)</f>
        <v>3979498.0814521797</v>
      </c>
      <c r="E39" s="508"/>
      <c r="F39" s="509"/>
      <c r="H39" s="207"/>
    </row>
    <row r="40" spans="2:8" s="65" customFormat="1" ht="16.5" customHeight="1">
      <c r="B40" s="343" t="s">
        <v>218</v>
      </c>
      <c r="C40" s="381">
        <v>520011.31888</v>
      </c>
      <c r="D40" s="381">
        <f>ROUND(+C40*$E$9,5)</f>
        <v>2002563.58901</v>
      </c>
      <c r="F40" s="348"/>
      <c r="H40" s="207"/>
    </row>
    <row r="41" spans="2:8" s="65" customFormat="1" ht="16.5" customHeight="1">
      <c r="B41" s="343" t="s">
        <v>179</v>
      </c>
      <c r="C41" s="381">
        <v>421171.99012</v>
      </c>
      <c r="D41" s="381">
        <f>ROUND(+C41*$E$9,5)</f>
        <v>1621933.33395</v>
      </c>
      <c r="E41" s="379"/>
      <c r="F41" s="495"/>
      <c r="H41" s="207"/>
    </row>
    <row r="42" spans="2:8" s="65" customFormat="1" ht="16.5" customHeight="1">
      <c r="B42" s="343" t="s">
        <v>186</v>
      </c>
      <c r="C42" s="381">
        <v>30065.34997</v>
      </c>
      <c r="D42" s="381">
        <f>ROUND(+C42*$E$9,8)</f>
        <v>115781.66273447</v>
      </c>
      <c r="E42" s="379"/>
      <c r="F42" s="442"/>
      <c r="H42" s="207"/>
    </row>
    <row r="43" spans="2:8" s="65" customFormat="1" ht="16.5" customHeight="1">
      <c r="B43" s="343" t="s">
        <v>156</v>
      </c>
      <c r="C43" s="381">
        <v>24733.83538</v>
      </c>
      <c r="D43" s="381">
        <f>ROUND(+C43*$E$9,8)</f>
        <v>95250.00004838</v>
      </c>
      <c r="E43" s="379"/>
      <c r="F43" s="442"/>
      <c r="H43" s="207"/>
    </row>
    <row r="44" spans="2:8" s="65" customFormat="1" ht="16.5" customHeight="1">
      <c r="B44" s="343" t="s">
        <v>217</v>
      </c>
      <c r="C44" s="381">
        <v>23140.05524</v>
      </c>
      <c r="D44" s="381">
        <f>ROUND(+C44*$E$9,8)</f>
        <v>89112.35272924</v>
      </c>
      <c r="E44" s="379"/>
      <c r="F44" s="442"/>
      <c r="H44" s="207"/>
    </row>
    <row r="45" spans="2:8" s="65" customFormat="1" ht="16.5" customHeight="1">
      <c r="B45" s="343" t="s">
        <v>207</v>
      </c>
      <c r="C45" s="381">
        <v>14244.90859</v>
      </c>
      <c r="D45" s="381">
        <f>ROUND(+C45*$E$9,8)</f>
        <v>54857.14298009</v>
      </c>
      <c r="E45" s="379"/>
      <c r="F45" s="442"/>
      <c r="H45" s="207"/>
    </row>
    <row r="46" spans="2:8" s="65" customFormat="1" ht="16.5" customHeight="1" hidden="1">
      <c r="B46" s="343" t="s">
        <v>182</v>
      </c>
      <c r="C46" s="381">
        <v>0</v>
      </c>
      <c r="D46" s="381">
        <f>ROUND(+C46*$E$9,8)</f>
        <v>0</v>
      </c>
      <c r="E46" s="379"/>
      <c r="F46" s="442"/>
      <c r="H46" s="207"/>
    </row>
    <row r="47" spans="2:8" s="65" customFormat="1" ht="9" customHeight="1">
      <c r="B47" s="64"/>
      <c r="C47" s="381"/>
      <c r="D47" s="381"/>
      <c r="H47" s="207"/>
    </row>
    <row r="48" spans="2:8" s="65" customFormat="1" ht="15" customHeight="1">
      <c r="B48" s="620" t="s">
        <v>60</v>
      </c>
      <c r="C48" s="615">
        <f>+C28+C14</f>
        <v>8516228.42639</v>
      </c>
      <c r="D48" s="615">
        <f>+D28+D14</f>
        <v>32795995.670022182</v>
      </c>
      <c r="F48" s="348"/>
      <c r="H48" s="207"/>
    </row>
    <row r="49" spans="2:8" s="81" customFormat="1" ht="15" customHeight="1">
      <c r="B49" s="621"/>
      <c r="C49" s="616"/>
      <c r="D49" s="616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247</v>
      </c>
      <c r="C51" s="510"/>
      <c r="D51" s="86"/>
    </row>
    <row r="52" spans="2:4" ht="14.25" customHeight="1">
      <c r="B52" s="86" t="s">
        <v>219</v>
      </c>
      <c r="C52" s="458"/>
      <c r="D52" s="86"/>
    </row>
    <row r="53" spans="2:5" ht="14.25" customHeight="1">
      <c r="B53" s="86" t="s">
        <v>259</v>
      </c>
      <c r="C53" s="86"/>
      <c r="D53" s="169"/>
      <c r="E53" s="191"/>
    </row>
    <row r="54" spans="2:5" ht="14.25" customHeight="1">
      <c r="B54" s="86" t="s">
        <v>260</v>
      </c>
      <c r="C54" s="86"/>
      <c r="D54" s="86"/>
      <c r="E54" s="191"/>
    </row>
    <row r="55" spans="2:5" ht="12.75">
      <c r="B55" s="454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8" t="s">
        <v>135</v>
      </c>
      <c r="C59" s="318"/>
      <c r="D59" s="318"/>
    </row>
    <row r="60" spans="2:4" ht="18">
      <c r="B60" s="318" t="s">
        <v>136</v>
      </c>
      <c r="C60" s="318"/>
      <c r="D60" s="318"/>
    </row>
    <row r="61" spans="2:4" ht="16.5">
      <c r="B61" s="342" t="s">
        <v>32</v>
      </c>
      <c r="C61" s="184"/>
      <c r="D61" s="184"/>
    </row>
    <row r="62" spans="2:4" s="136" customFormat="1" ht="18">
      <c r="B62" s="133" t="str">
        <f>+B9</f>
        <v>Al 31 de enero de 2023</v>
      </c>
      <c r="C62" s="133"/>
      <c r="D62" s="252"/>
    </row>
    <row r="63" spans="2:4" ht="9.75" customHeight="1">
      <c r="B63" s="625"/>
      <c r="C63" s="625"/>
      <c r="D63" s="625"/>
    </row>
    <row r="64" spans="2:4" ht="16.5" customHeight="1">
      <c r="B64" s="623" t="s">
        <v>94</v>
      </c>
      <c r="C64" s="617" t="s">
        <v>86</v>
      </c>
      <c r="D64" s="607" t="s">
        <v>210</v>
      </c>
    </row>
    <row r="65" spans="2:4" ht="16.5" customHeight="1">
      <c r="B65" s="624"/>
      <c r="C65" s="618"/>
      <c r="D65" s="608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50" t="s">
        <v>234</v>
      </c>
      <c r="C67" s="380">
        <f>+C69+C71</f>
        <v>0</v>
      </c>
      <c r="D67" s="380">
        <f>+D69+D71</f>
        <v>0</v>
      </c>
    </row>
    <row r="68" spans="2:4" s="81" customFormat="1" ht="9.75" customHeight="1" hidden="1">
      <c r="B68" s="498"/>
      <c r="C68" s="104"/>
      <c r="D68" s="104"/>
    </row>
    <row r="69" spans="2:4" s="81" customFormat="1" ht="16.5" hidden="1">
      <c r="B69" s="351" t="s">
        <v>33</v>
      </c>
      <c r="C69" s="380">
        <v>0</v>
      </c>
      <c r="D69" s="380">
        <v>0</v>
      </c>
    </row>
    <row r="70" spans="2:4" s="81" customFormat="1" ht="9.75" customHeight="1" hidden="1">
      <c r="B70" s="498"/>
      <c r="C70" s="104"/>
      <c r="D70" s="104"/>
    </row>
    <row r="71" spans="2:4" s="81" customFormat="1" ht="16.5" hidden="1">
      <c r="B71" s="351" t="s">
        <v>34</v>
      </c>
      <c r="C71" s="380">
        <f>SUM(C72:C72)</f>
        <v>0</v>
      </c>
      <c r="D71" s="380">
        <f>SUM(D72:D72)</f>
        <v>0</v>
      </c>
    </row>
    <row r="72" spans="2:4" s="81" customFormat="1" ht="16.5" hidden="1">
      <c r="B72" s="343"/>
      <c r="C72" s="381">
        <v>0</v>
      </c>
      <c r="D72" s="381">
        <f>ROUND(+C72*$E$9,8)</f>
        <v>0</v>
      </c>
    </row>
    <row r="73" spans="2:4" s="81" customFormat="1" ht="12" customHeight="1">
      <c r="B73" s="498"/>
      <c r="C73" s="104"/>
      <c r="D73" s="104"/>
    </row>
    <row r="74" spans="2:6" s="65" customFormat="1" ht="16.5" customHeight="1">
      <c r="B74" s="350" t="s">
        <v>232</v>
      </c>
      <c r="C74" s="380">
        <f>+C76+C82</f>
        <v>833814.99348</v>
      </c>
      <c r="D74" s="380">
        <f>+D76+D82</f>
        <v>3211021.5398914795</v>
      </c>
      <c r="F74" s="348"/>
    </row>
    <row r="75" spans="2:8" s="65" customFormat="1" ht="9.75" customHeight="1">
      <c r="B75" s="64"/>
      <c r="C75" s="381"/>
      <c r="D75" s="381"/>
      <c r="H75" s="207"/>
    </row>
    <row r="76" spans="2:8" s="65" customFormat="1" ht="16.5" customHeight="1">
      <c r="B76" s="351" t="s">
        <v>33</v>
      </c>
      <c r="C76" s="380">
        <f>SUM(C77:C80)</f>
        <v>386791.15518</v>
      </c>
      <c r="D76" s="380">
        <f>SUM(D77:D80)</f>
        <v>1489532.73859818</v>
      </c>
      <c r="F76" s="348"/>
      <c r="G76" s="208"/>
      <c r="H76" s="208"/>
    </row>
    <row r="77" spans="2:8" s="65" customFormat="1" ht="16.5" customHeight="1">
      <c r="B77" s="343" t="s">
        <v>249</v>
      </c>
      <c r="C77" s="381">
        <v>221791.15518</v>
      </c>
      <c r="D77" s="381">
        <f>ROUND(+C77*$E$9,8)</f>
        <v>854117.73859818</v>
      </c>
      <c r="F77" s="348"/>
      <c r="G77" s="208"/>
      <c r="H77" s="208"/>
    </row>
    <row r="78" spans="2:8" s="65" customFormat="1" ht="16.5" customHeight="1">
      <c r="B78" s="343" t="s">
        <v>244</v>
      </c>
      <c r="C78" s="381">
        <v>125000</v>
      </c>
      <c r="D78" s="381">
        <f>ROUND(+C78*$E$9,8)</f>
        <v>481375</v>
      </c>
      <c r="F78" s="348"/>
      <c r="G78" s="208"/>
      <c r="H78" s="208"/>
    </row>
    <row r="79" spans="2:8" s="65" customFormat="1" ht="16.5" customHeight="1" hidden="1">
      <c r="B79" s="343" t="s">
        <v>250</v>
      </c>
      <c r="C79" s="381">
        <v>0</v>
      </c>
      <c r="D79" s="381">
        <f>ROUND(+C79*$E$9,8)</f>
        <v>0</v>
      </c>
      <c r="F79" s="348"/>
      <c r="G79" s="208"/>
      <c r="H79" s="208"/>
    </row>
    <row r="80" spans="2:8" s="65" customFormat="1" ht="16.5" customHeight="1">
      <c r="B80" s="343" t="s">
        <v>255</v>
      </c>
      <c r="C80" s="381">
        <v>40000</v>
      </c>
      <c r="D80" s="381">
        <f>ROUND(+C80*$E$9,8)</f>
        <v>154040</v>
      </c>
      <c r="F80" s="348"/>
      <c r="G80" s="208"/>
      <c r="H80" s="208"/>
    </row>
    <row r="81" spans="2:4" s="65" customFormat="1" ht="9.75" customHeight="1">
      <c r="B81" s="63"/>
      <c r="C81" s="470"/>
      <c r="D81" s="470"/>
    </row>
    <row r="82" spans="2:8" s="65" customFormat="1" ht="16.5" customHeight="1">
      <c r="B82" s="351" t="s">
        <v>34</v>
      </c>
      <c r="C82" s="380">
        <f>SUM(C83:C88)</f>
        <v>447023.83829999994</v>
      </c>
      <c r="D82" s="380">
        <f>SUM(D83:D88)</f>
        <v>1721488.8012932998</v>
      </c>
      <c r="F82" s="348"/>
      <c r="H82" s="207"/>
    </row>
    <row r="83" spans="2:8" s="65" customFormat="1" ht="16.5" customHeight="1">
      <c r="B83" s="343" t="s">
        <v>185</v>
      </c>
      <c r="C83" s="381">
        <v>152215.79535</v>
      </c>
      <c r="D83" s="381">
        <f>ROUND(+C83*$E$9,8)</f>
        <v>586183.02789285</v>
      </c>
      <c r="E83" s="379"/>
      <c r="F83" s="442"/>
      <c r="H83" s="207"/>
    </row>
    <row r="84" spans="2:8" s="65" customFormat="1" ht="16.5" customHeight="1">
      <c r="B84" s="343" t="s">
        <v>156</v>
      </c>
      <c r="C84" s="381">
        <v>138454.44682</v>
      </c>
      <c r="D84" s="381">
        <f>ROUND(+C84*$E$9,8)</f>
        <v>533188.07470382</v>
      </c>
      <c r="E84" s="379"/>
      <c r="F84" s="442"/>
      <c r="H84" s="207"/>
    </row>
    <row r="85" spans="2:8" s="65" customFormat="1" ht="16.5" customHeight="1">
      <c r="B85" s="343" t="s">
        <v>186</v>
      </c>
      <c r="C85" s="381">
        <v>78340.91978</v>
      </c>
      <c r="D85" s="381">
        <f>ROUND(+C85*$E$9,8)</f>
        <v>301690.88207278</v>
      </c>
      <c r="E85" s="379"/>
      <c r="F85" s="442"/>
      <c r="H85" s="207"/>
    </row>
    <row r="86" spans="2:8" s="65" customFormat="1" ht="16.5" customHeight="1">
      <c r="B86" s="343" t="s">
        <v>183</v>
      </c>
      <c r="C86" s="381">
        <v>70051.06898</v>
      </c>
      <c r="D86" s="381">
        <f>ROUND(+C86*$E$9,8)</f>
        <v>269766.66664198</v>
      </c>
      <c r="E86" s="515"/>
      <c r="F86" s="442"/>
      <c r="H86" s="207"/>
    </row>
    <row r="87" spans="2:8" s="65" customFormat="1" ht="16.5" customHeight="1">
      <c r="B87" s="343" t="s">
        <v>253</v>
      </c>
      <c r="C87" s="381">
        <v>7650</v>
      </c>
      <c r="D87" s="381">
        <f>ROUND(+C87*$E$9,8)</f>
        <v>29460.15</v>
      </c>
      <c r="E87" s="515"/>
      <c r="F87" s="442"/>
      <c r="H87" s="207"/>
    </row>
    <row r="88" spans="2:8" s="65" customFormat="1" ht="28.5">
      <c r="B88" s="544" t="s">
        <v>256</v>
      </c>
      <c r="C88" s="543">
        <v>311.60737</v>
      </c>
      <c r="D88" s="543">
        <f>ROUND(+C88*$E$9,8)</f>
        <v>1199.99998187</v>
      </c>
      <c r="E88" s="515"/>
      <c r="F88" s="442"/>
      <c r="H88" s="207"/>
    </row>
    <row r="89" spans="2:8" s="65" customFormat="1" ht="9" customHeight="1">
      <c r="B89" s="64"/>
      <c r="C89" s="381"/>
      <c r="D89" s="381"/>
      <c r="H89" s="207"/>
    </row>
    <row r="90" spans="2:8" s="65" customFormat="1" ht="15" customHeight="1">
      <c r="B90" s="626" t="s">
        <v>60</v>
      </c>
      <c r="C90" s="615">
        <f>+C67+C74</f>
        <v>833814.99348</v>
      </c>
      <c r="D90" s="615">
        <f>+D67+D74</f>
        <v>3211021.5398914795</v>
      </c>
      <c r="F90" s="348"/>
      <c r="H90" s="207"/>
    </row>
    <row r="91" spans="2:8" s="81" customFormat="1" ht="15" customHeight="1">
      <c r="B91" s="627"/>
      <c r="C91" s="616"/>
      <c r="D91" s="616"/>
      <c r="F91" s="215"/>
      <c r="H91" s="207"/>
    </row>
    <row r="92" ht="12.75">
      <c r="C92" s="191"/>
    </row>
    <row r="93" spans="3:4" ht="12.75">
      <c r="C93" s="102"/>
      <c r="D93" s="287"/>
    </row>
    <row r="94" spans="3:4" ht="12.75">
      <c r="C94" s="289"/>
      <c r="D94" s="289"/>
    </row>
    <row r="95" ht="12.75">
      <c r="C95" s="433"/>
    </row>
    <row r="96" ht="12.75">
      <c r="C96" s="433"/>
    </row>
    <row r="97" ht="12.75">
      <c r="C97" s="433"/>
    </row>
    <row r="98" ht="12.75">
      <c r="C98" s="433"/>
    </row>
    <row r="99" ht="12.75">
      <c r="C99" s="433"/>
    </row>
    <row r="100" ht="12.75">
      <c r="C100" s="433"/>
    </row>
    <row r="101" ht="12.75">
      <c r="C101" s="433"/>
    </row>
  </sheetData>
  <sheetProtection/>
  <mergeCells count="14">
    <mergeCell ref="D64:D65"/>
    <mergeCell ref="B11:B12"/>
    <mergeCell ref="D48:D49"/>
    <mergeCell ref="C11:C12"/>
    <mergeCell ref="B10:D10"/>
    <mergeCell ref="B90:B91"/>
    <mergeCell ref="C90:C91"/>
    <mergeCell ref="D90:D91"/>
    <mergeCell ref="B63:D63"/>
    <mergeCell ref="B64:B65"/>
    <mergeCell ref="D11:D12"/>
    <mergeCell ref="C48:C49"/>
    <mergeCell ref="B48:B49"/>
    <mergeCell ref="C64:C65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8" t="s">
        <v>135</v>
      </c>
      <c r="C6" s="318"/>
      <c r="D6" s="318"/>
      <c r="I6" s="287"/>
    </row>
    <row r="7" spans="2:4" ht="18">
      <c r="B7" s="318" t="s">
        <v>134</v>
      </c>
      <c r="C7" s="318"/>
      <c r="D7" s="318"/>
    </row>
    <row r="8" spans="2:4" ht="16.5">
      <c r="B8" s="342" t="s">
        <v>1</v>
      </c>
      <c r="C8" s="184"/>
      <c r="D8" s="184"/>
    </row>
    <row r="9" spans="2:5" ht="15.75">
      <c r="B9" s="133" t="str">
        <f>+'DEP-C2'!B9</f>
        <v>Al 31 de enero de 2023</v>
      </c>
      <c r="C9" s="133"/>
      <c r="D9" s="265"/>
      <c r="E9" s="317">
        <f>+Portada!H39</f>
        <v>3.851</v>
      </c>
    </row>
    <row r="10" spans="2:4" ht="9.75" customHeight="1">
      <c r="B10" s="625"/>
      <c r="C10" s="625"/>
      <c r="D10" s="625"/>
    </row>
    <row r="11" spans="2:4" ht="16.5" customHeight="1">
      <c r="B11" s="611" t="s">
        <v>149</v>
      </c>
      <c r="C11" s="607" t="s">
        <v>86</v>
      </c>
      <c r="D11" s="630" t="s">
        <v>163</v>
      </c>
    </row>
    <row r="12" spans="2:8" s="81" customFormat="1" ht="16.5" customHeight="1">
      <c r="B12" s="612"/>
      <c r="C12" s="608"/>
      <c r="D12" s="631"/>
      <c r="H12" s="205"/>
    </row>
    <row r="13" spans="2:8" s="81" customFormat="1" ht="9.75" customHeight="1">
      <c r="B13" s="253"/>
      <c r="C13" s="503"/>
      <c r="D13" s="138"/>
      <c r="H13" s="205"/>
    </row>
    <row r="14" spans="2:9" s="65" customFormat="1" ht="16.5" customHeight="1">
      <c r="B14" s="361" t="s">
        <v>0</v>
      </c>
      <c r="C14" s="504">
        <f>SUM(C15:C16)</f>
        <v>4304527.7963000005</v>
      </c>
      <c r="D14" s="469">
        <f>SUM(D15:D16)</f>
        <v>16576736.543551281</v>
      </c>
      <c r="E14" s="218"/>
      <c r="F14" s="348"/>
      <c r="G14" s="290"/>
      <c r="H14" s="290"/>
      <c r="I14" s="290"/>
    </row>
    <row r="15" spans="2:8" s="65" customFormat="1" ht="16.5" customHeight="1">
      <c r="B15" s="69" t="s">
        <v>24</v>
      </c>
      <c r="C15" s="505">
        <v>443936.62908</v>
      </c>
      <c r="D15" s="468">
        <f>ROUND(+C15*$E$9,8)</f>
        <v>1709599.95858708</v>
      </c>
      <c r="E15" s="456"/>
      <c r="F15" s="347"/>
      <c r="G15" s="352"/>
      <c r="H15" s="290"/>
    </row>
    <row r="16" spans="2:8" s="65" customFormat="1" ht="16.5" customHeight="1">
      <c r="B16" s="69" t="s">
        <v>25</v>
      </c>
      <c r="C16" s="505">
        <v>3860591.16722</v>
      </c>
      <c r="D16" s="468">
        <f>ROUND(+C16*$E$9,8)</f>
        <v>14867136.5849642</v>
      </c>
      <c r="E16" s="456"/>
      <c r="F16" s="347"/>
      <c r="G16" s="290"/>
      <c r="H16" s="290"/>
    </row>
    <row r="17" spans="2:8" s="65" customFormat="1" ht="12" customHeight="1">
      <c r="B17" s="69"/>
      <c r="C17" s="505"/>
      <c r="D17" s="468"/>
      <c r="E17" s="455"/>
      <c r="H17" s="209"/>
    </row>
    <row r="18" spans="2:8" s="65" customFormat="1" ht="16.5" customHeight="1">
      <c r="B18" s="361" t="s">
        <v>187</v>
      </c>
      <c r="C18" s="504">
        <f>SUM(C19:C19)</f>
        <v>56145.07455</v>
      </c>
      <c r="D18" s="469">
        <f>SUM(D19:D19)</f>
        <v>216214.68209205</v>
      </c>
      <c r="E18" s="455"/>
      <c r="F18" s="348"/>
      <c r="G18" s="291"/>
      <c r="H18" s="291"/>
    </row>
    <row r="19" spans="2:8" s="65" customFormat="1" ht="16.5" customHeight="1">
      <c r="B19" s="69" t="s">
        <v>24</v>
      </c>
      <c r="C19" s="505">
        <v>56145.07455</v>
      </c>
      <c r="D19" s="468">
        <f>ROUND(+C19*$E$9,8)</f>
        <v>216214.68209205</v>
      </c>
      <c r="E19" s="456"/>
      <c r="F19" s="347"/>
      <c r="H19" s="209"/>
    </row>
    <row r="20" spans="2:8" s="65" customFormat="1" ht="11.25" customHeight="1">
      <c r="B20" s="69"/>
      <c r="C20" s="505"/>
      <c r="D20" s="468"/>
      <c r="E20" s="455"/>
      <c r="H20" s="209"/>
    </row>
    <row r="21" spans="2:8" s="65" customFormat="1" ht="16.5" customHeight="1">
      <c r="B21" s="361" t="s">
        <v>188</v>
      </c>
      <c r="C21" s="504">
        <f>+C22</f>
        <v>4155555.55554</v>
      </c>
      <c r="D21" s="469">
        <f>+D22</f>
        <v>16003044.4443845</v>
      </c>
      <c r="E21" s="455"/>
      <c r="F21" s="348"/>
      <c r="H21" s="209"/>
    </row>
    <row r="22" spans="2:8" s="65" customFormat="1" ht="16.5" customHeight="1">
      <c r="B22" s="69" t="s">
        <v>24</v>
      </c>
      <c r="C22" s="505">
        <v>4155555.55554</v>
      </c>
      <c r="D22" s="468">
        <f>ROUND(+C22*$E$9,8)</f>
        <v>16003044.4443845</v>
      </c>
      <c r="E22" s="456"/>
      <c r="F22" s="347"/>
      <c r="H22" s="209"/>
    </row>
    <row r="23" spans="2:8" s="65" customFormat="1" ht="9.75" customHeight="1">
      <c r="B23" s="68"/>
      <c r="C23" s="506"/>
      <c r="D23" s="467"/>
      <c r="F23" s="347"/>
      <c r="H23" s="209"/>
    </row>
    <row r="24" spans="2:8" s="65" customFormat="1" ht="15" customHeight="1">
      <c r="B24" s="620" t="s">
        <v>60</v>
      </c>
      <c r="C24" s="628">
        <f>+C18+C14+C21</f>
        <v>8516228.42639</v>
      </c>
      <c r="D24" s="632">
        <f>+D18+D14+D21</f>
        <v>32795995.67002783</v>
      </c>
      <c r="F24" s="348"/>
      <c r="H24" s="209"/>
    </row>
    <row r="25" spans="2:8" s="81" customFormat="1" ht="15" customHeight="1">
      <c r="B25" s="621"/>
      <c r="C25" s="629"/>
      <c r="D25" s="633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51" t="s">
        <v>189</v>
      </c>
      <c r="C27" s="512"/>
      <c r="D27" s="451"/>
      <c r="H27" s="209"/>
    </row>
    <row r="28" spans="2:8" s="65" customFormat="1" ht="17.25" customHeight="1">
      <c r="B28" s="451" t="s">
        <v>190</v>
      </c>
      <c r="C28" s="452"/>
      <c r="D28" s="451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8" t="s">
        <v>135</v>
      </c>
      <c r="C34" s="318"/>
      <c r="D34" s="318"/>
      <c r="H34" s="219"/>
    </row>
    <row r="35" spans="2:8" s="136" customFormat="1" ht="18">
      <c r="B35" s="318" t="s">
        <v>136</v>
      </c>
      <c r="C35" s="318"/>
      <c r="D35" s="318"/>
      <c r="H35" s="219"/>
    </row>
    <row r="36" spans="2:8" s="136" customFormat="1" ht="18">
      <c r="B36" s="342" t="s">
        <v>1</v>
      </c>
      <c r="C36" s="184"/>
      <c r="D36" s="184"/>
      <c r="H36" s="219"/>
    </row>
    <row r="37" spans="2:8" s="136" customFormat="1" ht="18">
      <c r="B37" s="133" t="str">
        <f>+B9</f>
        <v>Al 31 de enero de 2023</v>
      </c>
      <c r="C37" s="133"/>
      <c r="D37" s="252"/>
      <c r="H37" s="219"/>
    </row>
    <row r="38" spans="2:4" ht="9.75" customHeight="1">
      <c r="B38" s="625"/>
      <c r="C38" s="625"/>
      <c r="D38" s="625"/>
    </row>
    <row r="39" spans="2:4" ht="16.5" customHeight="1">
      <c r="B39" s="611" t="s">
        <v>149</v>
      </c>
      <c r="C39" s="607" t="s">
        <v>86</v>
      </c>
      <c r="D39" s="607" t="s">
        <v>163</v>
      </c>
    </row>
    <row r="40" spans="2:8" s="81" customFormat="1" ht="16.5" customHeight="1">
      <c r="B40" s="612"/>
      <c r="C40" s="608"/>
      <c r="D40" s="608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1" t="s">
        <v>0</v>
      </c>
      <c r="C42" s="380">
        <f>SUM(C43:C44)</f>
        <v>333815.02241</v>
      </c>
      <c r="D42" s="469">
        <f>SUM(D43:D44)</f>
        <v>1285521.65130091</v>
      </c>
      <c r="E42" s="218"/>
      <c r="H42" s="209"/>
    </row>
    <row r="43" spans="2:8" s="65" customFormat="1" ht="16.5" customHeight="1">
      <c r="B43" s="69" t="s">
        <v>24</v>
      </c>
      <c r="C43" s="381">
        <v>333815.02241</v>
      </c>
      <c r="D43" s="468">
        <f>ROUND(+C43*$E$9,8)</f>
        <v>1285521.65130091</v>
      </c>
      <c r="E43" s="218"/>
      <c r="F43" s="360"/>
      <c r="H43" s="209"/>
    </row>
    <row r="44" spans="2:8" s="65" customFormat="1" ht="16.5" customHeight="1" hidden="1">
      <c r="B44" s="69" t="s">
        <v>25</v>
      </c>
      <c r="C44" s="381">
        <v>0</v>
      </c>
      <c r="D44" s="468">
        <f>ROUND(+C44*$E$9,8)</f>
        <v>0</v>
      </c>
      <c r="E44" s="218"/>
      <c r="F44" s="360"/>
      <c r="H44" s="209"/>
    </row>
    <row r="45" spans="2:8" s="65" customFormat="1" ht="12" customHeight="1">
      <c r="B45" s="69"/>
      <c r="C45" s="381"/>
      <c r="D45" s="468"/>
      <c r="E45" s="218"/>
      <c r="H45" s="209"/>
    </row>
    <row r="46" spans="2:8" s="65" customFormat="1" ht="16.5" customHeight="1">
      <c r="B46" s="361" t="s">
        <v>158</v>
      </c>
      <c r="C46" s="380">
        <f>+C47</f>
        <v>499999.97107</v>
      </c>
      <c r="D46" s="469">
        <f>+D47</f>
        <v>1925499.88859057</v>
      </c>
      <c r="E46" s="220"/>
      <c r="F46" s="109"/>
      <c r="H46" s="209"/>
    </row>
    <row r="47" spans="2:8" s="65" customFormat="1" ht="16.5" customHeight="1">
      <c r="B47" s="69" t="s">
        <v>24</v>
      </c>
      <c r="C47" s="381">
        <v>499999.97107</v>
      </c>
      <c r="D47" s="468">
        <f>ROUND(+C47*$E$9,8)</f>
        <v>1925499.88859057</v>
      </c>
      <c r="E47" s="220"/>
      <c r="F47" s="352"/>
      <c r="H47" s="209"/>
    </row>
    <row r="48" spans="2:8" s="65" customFormat="1" ht="9.75" customHeight="1">
      <c r="B48" s="68"/>
      <c r="C48" s="388"/>
      <c r="D48" s="467"/>
      <c r="H48" s="209"/>
    </row>
    <row r="49" spans="2:8" s="65" customFormat="1" ht="15" customHeight="1">
      <c r="B49" s="620" t="s">
        <v>60</v>
      </c>
      <c r="C49" s="615">
        <f>+C42+C46</f>
        <v>833814.99348</v>
      </c>
      <c r="D49" s="632">
        <f>+D42+D46</f>
        <v>3211021.53989148</v>
      </c>
      <c r="H49" s="209"/>
    </row>
    <row r="50" spans="2:8" s="81" customFormat="1" ht="15" customHeight="1">
      <c r="B50" s="621"/>
      <c r="C50" s="616"/>
      <c r="D50" s="633"/>
      <c r="H50" s="205"/>
    </row>
    <row r="51" ht="4.5" customHeight="1"/>
    <row r="52" spans="3:4" ht="12.75">
      <c r="C52" s="433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2023-03-05T04:26:18Z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