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'DEP-C4'!$B$1:$D$90</definedName>
    <definedName name="_xlnm.Print_Area" localSheetId="8">'DEP-C5'!$B$1:$D$51</definedName>
    <definedName name="_xlnm.Print_Area" localSheetId="9">'DEP-C6'!$B$1:$E$79</definedName>
    <definedName name="_xlnm.Print_Area" localSheetId="10">'DEP-C7'!$B$1:$E$89</definedName>
    <definedName name="_xlnm.Print_Area" localSheetId="11">'DEP-C8'!$B$1:$D$128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<sst xmlns="http://schemas.openxmlformats.org/spreadsheetml/2006/main" count="629" uniqueCount="264">
  <si>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</si>
  <si>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</si>
  <si>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</si>
  <si>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</si>
  <si>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</si>
  <si>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</si>
  <si>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</si>
  <si>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</si>
  <si>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</si>
  <si>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</si>
  <si>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</si>
  <si>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</si>
  <si>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</si>
  <si>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</si>
  <si>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</si>
  <si>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</si>
  <si>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</si>
  <si>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</si>
  <si>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</si>
  <si>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</si>
  <si>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</si>
  <si>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</si>
  <si>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</si>
  <si>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</si>
  <si>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</si>
  <si>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</si>
  <si>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</si>
  <si>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</si>
  <si>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</si>
  <si>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</si>
  <si>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</si>
  <si>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</si>
  <si>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</si>
  <si>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</si>
  <si>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</si>
  <si>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</si>
  <si>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</si>
  <si>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</si>
  <si>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</si>
  <si>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</si>
  <si>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</si>
  <si>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</si>
  <si>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</si>
  <si>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</si>
  <si>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</si>
  <si>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</si>
  <si>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</si>
  <si>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</si>
  <si>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</si>
  <si>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</si>
  <si>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</si>
  <si>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</si>
  <si>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</si>
  <si>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</si>
  <si>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</si>
  <si>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</si>
  <si>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</si>
  <si>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</si>
  <si>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</si>
  <si>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</si>
  <si>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</si>
  <si>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</si>
  <si>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</si>
  <si>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</si>
  <si>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</si>
  <si>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</si>
  <si>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</si>
  <si>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</si>
  <si>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</si>
  <si>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</si>
  <si>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</si>
  <si>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</si>
  <si>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</si>
  <si>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</si>
  <si>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</si>
  <si>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</si>
  <si>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</si>
  <si>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</si>
  <si>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</si>
  <si>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</si>
  <si>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</si>
  <si>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</si>
  <si>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</si>
  <si>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</si>
  <si>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</si>
  <si>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</si>
  <si>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</si>
  <si>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</si>
  <si>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</si>
  <si>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</si>
  <si>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</si>
  <si>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</si>
  <si>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</si>
  <si>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</si>
  <si>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</si>
  <si>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</si>
  <si>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</si>
  <si>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</si>
  <si>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</si>
  <si>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</si>
  <si>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</si>
  <si>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</si>
  <si>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</si>
  <si>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</si>
  <si>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</si>
  <si>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</si>
  <si>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</si>
  <si>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</si>
  <si>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</si>
  <si>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</si>
  <si>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</si>
  <si>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</si>
  <si>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</si>
  <si>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</si>
  <si>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</si>
  <si>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</si>
  <si>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</si>
  <si>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</si>
  <si>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</si>
  <si>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</si>
  <si>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</si>
  <si>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</si>
  <si>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</si>
  <si>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</si>
  <si>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</si>
  <si>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</si>
  <si>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</si>
  <si>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</si>
  <si>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</si>
  <si>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</si>
  <si>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</si>
  <si>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</si>
  <si>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</si>
  <si>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</si>
  <si>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</si>
  <si>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</si>
  <si>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</si>
  <si>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</si>
  <si>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</si>
  <si>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</si>
  <si>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</si>
  <si>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</si>
  <si>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</si>
  <si>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</si>
  <si>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</si>
  <si>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</si>
  <si>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</si>
  <si>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</si>
  <si>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</si>
  <si>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</si>
  <si>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</si>
  <si>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</si>
  <si>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</si>
  <si>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</si>
  <si>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</si>
  <si>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</si>
  <si>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</si>
  <si>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</si>
  <si>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</si>
  <si>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</si>
  <si>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</si>
  <si>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</si>
  <si>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</si>
  <si>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</si>
  <si>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</si>
  <si>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</si>
  <si>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</si>
  <si>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</si>
  <si>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</si>
  <si>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</si>
  <si>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</si>
  <si>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</si>
  <si>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</si>
  <si>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</si>
  <si>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</si>
  <si>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</si>
  <si>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</si>
  <si>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</si>
  <si>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</si>
  <si>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</si>
  <si>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</si>
  <si>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</si>
  <si>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</si>
  <si>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</si>
  <si>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</si>
  <si>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</si>
  <si>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</si>
  <si>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</si>
  <si>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</si>
  <si>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</si>
  <si>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</si>
  <si>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</si>
  <si>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</si>
  <si>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</si>
  <si>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</si>
  <si>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</si>
  <si>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</si>
  <si>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</si>
  <si>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</si>
  <si>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</si>
  <si>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</si>
  <si>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</si>
  <si>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</si>
  <si>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</si>
  <si>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</si>
  <si>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</si>
  <si>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</si>
  <si>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</si>
  <si>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</si>
  <si>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</si>
  <si>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</si>
  <si>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</si>
  <si>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</si>
  <si>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</si>
  <si>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</si>
  <si>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</si>
  <si>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</si>
  <si>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</si>
  <si>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</si>
  <si>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</si>
  <si>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</si>
  <si>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</si>
  <si>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</si>
  <si>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</si>
  <si>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</si>
  <si>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</si>
  <si>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</si>
  <si>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</si>
  <si>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</si>
  <si>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</si>
  <si>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</si>
  <si>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</si>
  <si>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</si>
  <si>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</si>
  <si>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</si>
  <si>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</si>
  <si>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</si>
  <si>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</si>
  <si>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</si>
  <si>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</si>
  <si>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</si>
  <si>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</si>
  <si>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</si>
  <si>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</si>
  <si>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</si>
  <si>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</si>
  <si>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</si>
  <si>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</si>
  <si>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</si>
  <si>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</si>
  <si>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Citibank</t>
  </si>
  <si>
    <t>Corporacion Peruana de Aeropuertos y Aviacion Comercial S.A.</t>
  </si>
  <si>
    <t>Petroleos del Peru</t>
  </si>
  <si>
    <t>Sumitomo Mitsui Banking Corporation</t>
  </si>
  <si>
    <t>Empresa Nacional de la Coca</t>
  </si>
  <si>
    <t xml:space="preserve"> 1/  Incluye: Bonos PETROPERU por US$ 3 000,0 millones.</t>
  </si>
  <si>
    <t>Citibank N.A.</t>
  </si>
  <si>
    <t>Banco Wiese Sudameris</t>
  </si>
  <si>
    <t>SERVICIOS POSTALES DEL PERÚ S.A</t>
  </si>
  <si>
    <t>AL 28 DE FEBRERO 2022</t>
  </si>
  <si>
    <t>Al 28 de febrero de 2022</t>
  </si>
  <si>
    <t xml:space="preserve"> 3/  Incluye: Bonos COFIDE por US$ 1 211,5 millones y Bonos Fondo MIVIVIENDA por US$ 1 049,0 millones.</t>
  </si>
  <si>
    <t xml:space="preserve"> 4/  Incluye: Bonos COFIDE por US$ 370,6 millones y Bonos Fondo MIVIVIENDA por US$ 212,9 millones.</t>
  </si>
  <si>
    <t>Período: De 2009 al 31 de febrero 2022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</si>
</sst>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45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7164.30753646</c:v>
                </c:pt>
                <c:pt idx="1">
                  <c:v>2129.8946967700003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3827.94004538</c:v>
                </c:pt>
                <c:pt idx="1">
                  <c:v>5466.26218785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8698.52836187</c:v>
                </c:pt>
                <c:pt idx="1">
                  <c:v>595.67387136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3450.1267261700004</c:v>
                </c:pt>
                <c:pt idx="1">
                  <c:v>5844.07550706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5844.07550706</c:v>
                </c:pt>
                <c:pt idx="1">
                  <c:v>1944.30147921</c:v>
                </c:pt>
                <c:pt idx="2">
                  <c:v>535.29851737</c:v>
                </c:pt>
                <c:pt idx="3">
                  <c:v>457.8018799899999</c:v>
                </c:pt>
                <c:pt idx="4">
                  <c:v>512.7248496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6914.60313911</c:v>
                </c:pt>
                <c:pt idx="1">
                  <c:v>1960.2269483</c:v>
                </c:pt>
                <c:pt idx="2">
                  <c:v>182.59231117</c:v>
                </c:pt>
                <c:pt idx="3">
                  <c:v>236.77983464999997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Relationship Id="rId8" Type="http://schemas.openxmlformats.org/officeDocument/2006/relationships/hyperlink" Target="#Reporte_Deuda_Empresas_SG_28022022.xls#Indice!B6" /><Relationship Id="rId9" Type="http://schemas.openxmlformats.org/officeDocument/2006/relationships/hyperlink" Target="#Reporte_Deuda_Empresas_SG_28022022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hyperlink" Target="#Reporte_Deuda_Empresas_SG_28022022.xls#Indice!B6" /><Relationship Id="rId4" Type="http://schemas.openxmlformats.org/officeDocument/2006/relationships/hyperlink" Target="#Reporte_Deuda_Empresas_SG_2802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28022022.xls#Indice!B6" /><Relationship Id="rId3" Type="http://schemas.openxmlformats.org/officeDocument/2006/relationships/hyperlink" Target="#Reporte_Deuda_Empresas_SG_2802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123825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66675</xdr:rowOff>
    </xdr:from>
    <xdr:to>
      <xdr:col>7</xdr:col>
      <xdr:colOff>600075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66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47625</xdr:colOff>
      <xdr:row>3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85725</xdr:rowOff>
    </xdr:from>
    <xdr:to>
      <xdr:col>7</xdr:col>
      <xdr:colOff>485775</xdr:colOff>
      <xdr:row>3</xdr:row>
      <xdr:rowOff>66675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32" t="str">
        <f>+Portada!$B$6</f>
        <v>DEUDA DE LAS EMPRESAS PÚBLICAS</v>
      </c>
      <c r="C6" s="532"/>
      <c r="D6" s="532"/>
      <c r="E6" s="532"/>
      <c r="F6" s="532"/>
      <c r="G6" s="532"/>
    </row>
    <row r="7" spans="2:7" s="4" customFormat="1" ht="24.75" customHeight="1">
      <c r="B7" s="533" t="s">
        <v>259</v>
      </c>
      <c r="C7" s="533"/>
      <c r="D7" s="533"/>
      <c r="E7" s="533"/>
      <c r="F7" s="533"/>
      <c r="G7" s="533"/>
    </row>
    <row r="8" spans="2:5" s="4" customFormat="1" ht="15.75" customHeight="1">
      <c r="B8" s="249"/>
      <c r="C8" s="249"/>
      <c r="D8" s="504"/>
      <c r="E8" s="130"/>
    </row>
    <row r="9" spans="2:5" ht="19.5" customHeight="1">
      <c r="B9" s="86"/>
      <c r="C9" s="86"/>
      <c r="D9" s="406" t="s">
        <v>67</v>
      </c>
      <c r="E9" s="86"/>
    </row>
    <row r="10" spans="2:5" s="7" customFormat="1" ht="19.5" customHeight="1">
      <c r="B10" s="183"/>
      <c r="C10" s="183"/>
      <c r="D10" s="406" t="s">
        <v>174</v>
      </c>
      <c r="E10" s="71"/>
    </row>
    <row r="11" spans="2:5" s="7" customFormat="1" ht="19.5" customHeight="1">
      <c r="B11" s="184"/>
      <c r="C11" s="183"/>
      <c r="D11" s="406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31" t="s">
        <v>216</v>
      </c>
      <c r="E13" s="531"/>
      <c r="F13" s="531"/>
      <c r="G13" s="531"/>
      <c r="H13" s="531"/>
    </row>
    <row r="14" spans="2:6" s="7" customFormat="1" ht="19.5" customHeight="1">
      <c r="B14" s="183" t="s">
        <v>12</v>
      </c>
      <c r="C14" s="183" t="s">
        <v>8</v>
      </c>
      <c r="D14" s="531" t="s">
        <v>153</v>
      </c>
      <c r="E14" s="531"/>
      <c r="F14" s="531"/>
    </row>
    <row r="15" spans="2:6" s="7" customFormat="1" ht="19.5" customHeight="1">
      <c r="B15" s="183" t="s">
        <v>13</v>
      </c>
      <c r="C15" s="183" t="s">
        <v>8</v>
      </c>
      <c r="D15" s="534" t="s">
        <v>37</v>
      </c>
      <c r="E15" s="534"/>
      <c r="F15" s="534"/>
    </row>
    <row r="16" spans="2:6" s="7" customFormat="1" ht="19.5" customHeight="1">
      <c r="B16" s="183" t="s">
        <v>14</v>
      </c>
      <c r="C16" s="183" t="s">
        <v>8</v>
      </c>
      <c r="D16" s="534" t="s">
        <v>32</v>
      </c>
      <c r="E16" s="534"/>
      <c r="F16" s="534"/>
    </row>
    <row r="17" spans="2:6" s="7" customFormat="1" ht="19.5" customHeight="1">
      <c r="B17" s="183" t="s">
        <v>91</v>
      </c>
      <c r="C17" s="183" t="s">
        <v>8</v>
      </c>
      <c r="D17" s="534" t="s">
        <v>1</v>
      </c>
      <c r="E17" s="534"/>
      <c r="F17" s="534"/>
    </row>
    <row r="18" spans="2:6" s="7" customFormat="1" ht="19.5" customHeight="1">
      <c r="B18" s="183" t="s">
        <v>60</v>
      </c>
      <c r="C18" s="183" t="s">
        <v>8</v>
      </c>
      <c r="D18" s="534" t="s">
        <v>58</v>
      </c>
      <c r="E18" s="534"/>
      <c r="F18" s="534"/>
    </row>
    <row r="19" spans="2:6" s="7" customFormat="1" ht="19.5" customHeight="1">
      <c r="B19" s="183" t="s">
        <v>15</v>
      </c>
      <c r="C19" s="183" t="s">
        <v>8</v>
      </c>
      <c r="D19" s="534" t="s">
        <v>105</v>
      </c>
      <c r="E19" s="534"/>
      <c r="F19" s="534"/>
    </row>
    <row r="20" spans="2:6" s="7" customFormat="1" ht="19.5" customHeight="1">
      <c r="B20" s="183" t="s">
        <v>16</v>
      </c>
      <c r="C20" s="183" t="s">
        <v>8</v>
      </c>
      <c r="D20" s="534" t="s">
        <v>59</v>
      </c>
      <c r="E20" s="534"/>
      <c r="F20" s="534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28022022.xls#Resumen!B5" display="CUADROS RESUMEN"/>
    <hyperlink ref="D11" location="Reporte_Deuda_Empresas_SG_2802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28022022.xls#Portada!B6" display="PORTADA"/>
    <hyperlink ref="D19" location="'Grupo Acreedor'!A1" display="POR GRUPO DEL ACREEDOR"/>
    <hyperlink ref="D14:F14" location="Reporte_Deuda_Empresas_SG_28022022.xls#'DEP-C2'!B5" display="POR TIPO DE DEUDA Y TIPO DE EMPRESA"/>
    <hyperlink ref="D16:F16" location="'DEP-C4'!B5" display="POR TIPO DE EMPRESA Y ACREEDOR"/>
    <hyperlink ref="D15:F15" location="Reporte_Deuda_Empresas_SG_28022022.xls#'DEP-C3'!B5" display="POR TIPO DE MONEDA"/>
    <hyperlink ref="D17:F17" location="Reporte_Deuda_Empresas_SG_28022022.xls#'DEP-C5'!B5" display="POR GRUPO EMPRESARIAL DEL DEUDOR"/>
    <hyperlink ref="D18:F18" location="Reporte_Deuda_Empresas_SG_28022022.xls#'DEP-C6'!B5" display="POR GRUPO EMPRESARIAL Y ENTIDAD DEUDORA"/>
    <hyperlink ref="D19:F19" location="Reporte_Deuda_Empresas_SG_28022022.xls#'DEP-C7'!B5" display="POR TIPO DE EMPRESA Y GRUPO DEL ACREEDOR "/>
    <hyperlink ref="D13:F13" r:id="rId1" display="EVOLUCIÓN DE LA DEUDA DE LAS EMPRESAS PÚBLICAS"/>
    <hyperlink ref="D13:H13" location="Reporte_Deuda_Empresas_SG_28022022.xls#'DEP-C1'!B5" display="EVOLUCIÓN DE LA DEUDA DE LAS EMPRESAS PÚBLICAS - POR TIPO DE DEUDA"/>
    <hyperlink ref="D20:F20" location="Reporte_Deuda_Empresas_SG_2802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4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28 de febrero de 2022</v>
      </c>
      <c r="C9" s="364"/>
      <c r="D9" s="269"/>
      <c r="E9" s="269"/>
      <c r="F9" s="318">
        <f>+Portada!H39</f>
        <v>3.759</v>
      </c>
    </row>
    <row r="10" spans="2:5" ht="9.75" customHeight="1">
      <c r="B10" s="610"/>
      <c r="C10" s="610"/>
      <c r="D10" s="610"/>
      <c r="E10" s="610"/>
    </row>
    <row r="11" spans="2:5" ht="18" customHeight="1">
      <c r="B11" s="608" t="s">
        <v>96</v>
      </c>
      <c r="C11" s="608" t="s">
        <v>26</v>
      </c>
      <c r="D11" s="619" t="s">
        <v>87</v>
      </c>
      <c r="E11" s="620" t="s">
        <v>164</v>
      </c>
    </row>
    <row r="12" spans="2:6" s="81" customFormat="1" ht="18" customHeight="1">
      <c r="B12" s="609"/>
      <c r="C12" s="609"/>
      <c r="D12" s="603"/>
      <c r="E12" s="621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4">
        <f>SUM(D15:D27)</f>
        <v>4336120.62608</v>
      </c>
      <c r="E14" s="381">
        <f>SUM(E15:E27)</f>
        <v>16299477.433434721</v>
      </c>
      <c r="F14" s="71"/>
    </row>
    <row r="15" spans="2:6" s="65" customFormat="1" ht="16.5" customHeight="1">
      <c r="B15" s="93" t="s">
        <v>211</v>
      </c>
      <c r="C15" s="83" t="s">
        <v>92</v>
      </c>
      <c r="D15" s="475">
        <v>2194830.2389900004</v>
      </c>
      <c r="E15" s="382">
        <f aca="true" t="shared" si="0" ref="E15:E27">ROUND(D15*$F$9,8)</f>
        <v>8250366.86836341</v>
      </c>
      <c r="F15" s="71"/>
    </row>
    <row r="16" spans="2:6" s="65" customFormat="1" ht="16.5" customHeight="1">
      <c r="B16" s="93" t="s">
        <v>170</v>
      </c>
      <c r="C16" s="83" t="s">
        <v>92</v>
      </c>
      <c r="D16" s="475">
        <v>1614867.87273</v>
      </c>
      <c r="E16" s="382">
        <f t="shared" si="0"/>
        <v>6070288.33359207</v>
      </c>
      <c r="F16" s="71"/>
    </row>
    <row r="17" spans="2:6" s="65" customFormat="1" ht="16.5" customHeight="1">
      <c r="B17" s="93" t="s">
        <v>209</v>
      </c>
      <c r="C17" s="83" t="s">
        <v>93</v>
      </c>
      <c r="D17" s="475">
        <v>444583.91544</v>
      </c>
      <c r="E17" s="382">
        <f t="shared" si="0"/>
        <v>1671190.93813896</v>
      </c>
      <c r="F17" s="71"/>
    </row>
    <row r="18" spans="2:6" s="65" customFormat="1" ht="16.5" customHeight="1">
      <c r="B18" s="93" t="s">
        <v>124</v>
      </c>
      <c r="C18" s="83" t="s">
        <v>92</v>
      </c>
      <c r="D18" s="475">
        <v>18241.933659999995</v>
      </c>
      <c r="E18" s="382">
        <f t="shared" si="0"/>
        <v>68571.42862794</v>
      </c>
      <c r="F18" s="71"/>
    </row>
    <row r="19" spans="2:6" s="65" customFormat="1" ht="16.5" customHeight="1">
      <c r="B19" s="93" t="s">
        <v>169</v>
      </c>
      <c r="C19" s="83" t="s">
        <v>93</v>
      </c>
      <c r="D19" s="475">
        <v>18029.94034</v>
      </c>
      <c r="E19" s="382">
        <f t="shared" si="0"/>
        <v>67774.54573806</v>
      </c>
      <c r="F19" s="71"/>
    </row>
    <row r="20" spans="2:6" s="65" customFormat="1" ht="16.5" customHeight="1">
      <c r="B20" s="93" t="s">
        <v>195</v>
      </c>
      <c r="C20" s="83" t="s">
        <v>93</v>
      </c>
      <c r="D20" s="475">
        <v>14507.25322</v>
      </c>
      <c r="E20" s="382">
        <f t="shared" si="0"/>
        <v>54532.76485398</v>
      </c>
      <c r="F20" s="71"/>
    </row>
    <row r="21" spans="2:6" s="65" customFormat="1" ht="16.5" customHeight="1">
      <c r="B21" s="93" t="s">
        <v>168</v>
      </c>
      <c r="C21" s="83" t="s">
        <v>93</v>
      </c>
      <c r="D21" s="475">
        <v>13056.058079999999</v>
      </c>
      <c r="E21" s="382">
        <f t="shared" si="0"/>
        <v>49077.72232272</v>
      </c>
      <c r="F21" s="71"/>
    </row>
    <row r="22" spans="2:6" s="65" customFormat="1" ht="16.5" customHeight="1">
      <c r="B22" s="93" t="s">
        <v>194</v>
      </c>
      <c r="C22" s="83" t="s">
        <v>93</v>
      </c>
      <c r="D22" s="475">
        <v>11216.46473</v>
      </c>
      <c r="E22" s="382">
        <f t="shared" si="0"/>
        <v>42162.69092007</v>
      </c>
      <c r="F22" s="71"/>
    </row>
    <row r="23" spans="2:6" s="65" customFormat="1" ht="16.5" customHeight="1">
      <c r="B23" s="93" t="s">
        <v>193</v>
      </c>
      <c r="C23" s="83" t="s">
        <v>93</v>
      </c>
      <c r="D23" s="475">
        <v>2276.55339</v>
      </c>
      <c r="E23" s="382">
        <f t="shared" si="0"/>
        <v>8557.56419301</v>
      </c>
      <c r="F23" s="71"/>
    </row>
    <row r="24" spans="2:6" s="65" customFormat="1" ht="16.5" customHeight="1">
      <c r="B24" s="93" t="s">
        <v>237</v>
      </c>
      <c r="C24" s="83" t="s">
        <v>93</v>
      </c>
      <c r="D24" s="475">
        <v>1763.61566</v>
      </c>
      <c r="E24" s="382">
        <f t="shared" si="0"/>
        <v>6629.43126594</v>
      </c>
      <c r="F24" s="71"/>
    </row>
    <row r="25" spans="2:6" s="65" customFormat="1" ht="16.5" customHeight="1">
      <c r="B25" s="66" t="s">
        <v>158</v>
      </c>
      <c r="C25" s="83" t="s">
        <v>93</v>
      </c>
      <c r="D25" s="475">
        <v>1436.3223500000001</v>
      </c>
      <c r="E25" s="382">
        <f t="shared" si="0"/>
        <v>5399.13571365</v>
      </c>
      <c r="F25" s="71"/>
    </row>
    <row r="26" spans="2:6" s="65" customFormat="1" ht="16.5" customHeight="1">
      <c r="B26" s="66" t="s">
        <v>196</v>
      </c>
      <c r="C26" s="83" t="s">
        <v>93</v>
      </c>
      <c r="D26" s="475">
        <v>778.40109</v>
      </c>
      <c r="E26" s="382">
        <f>ROUND(D26*$F$9,8)</f>
        <v>2926.00969731</v>
      </c>
      <c r="F26" s="71"/>
    </row>
    <row r="27" spans="2:6" s="65" customFormat="1" ht="16.5" customHeight="1">
      <c r="B27" s="93" t="s">
        <v>254</v>
      </c>
      <c r="C27" s="83" t="s">
        <v>93</v>
      </c>
      <c r="D27" s="475">
        <v>532.0564</v>
      </c>
      <c r="E27" s="382">
        <f t="shared" si="0"/>
        <v>2000.0000076</v>
      </c>
      <c r="F27" s="71"/>
    </row>
    <row r="28" spans="2:6" s="65" customFormat="1" ht="12" customHeight="1">
      <c r="B28" s="93"/>
      <c r="C28" s="83"/>
      <c r="D28" s="475"/>
      <c r="E28" s="382"/>
      <c r="F28" s="71"/>
    </row>
    <row r="29" spans="2:7" s="65" customFormat="1" ht="16.5" customHeight="1">
      <c r="B29" s="369" t="s">
        <v>115</v>
      </c>
      <c r="C29" s="370"/>
      <c r="D29" s="474">
        <f>SUM(D30:D43)</f>
        <v>62407.73579000001</v>
      </c>
      <c r="E29" s="381">
        <f>SUM(E30:E43)</f>
        <v>234590.67883460998</v>
      </c>
      <c r="F29" s="91"/>
      <c r="G29" s="91"/>
    </row>
    <row r="30" spans="2:9" s="92" customFormat="1" ht="16.5" customHeight="1">
      <c r="B30" s="93" t="s">
        <v>199</v>
      </c>
      <c r="C30" s="83" t="s">
        <v>93</v>
      </c>
      <c r="D30" s="475">
        <v>34514.08784000001</v>
      </c>
      <c r="E30" s="382">
        <f aca="true" t="shared" si="1" ref="E30:E43">ROUND(D30*$F$9,8)</f>
        <v>129738.45619056</v>
      </c>
      <c r="F30" s="91"/>
      <c r="G30" s="91"/>
      <c r="H30" s="65"/>
      <c r="I30" s="65"/>
    </row>
    <row r="31" spans="2:9" s="92" customFormat="1" ht="16.5" customHeight="1">
      <c r="B31" s="93" t="s">
        <v>208</v>
      </c>
      <c r="C31" s="83" t="s">
        <v>93</v>
      </c>
      <c r="D31" s="475">
        <v>5123.783619999999</v>
      </c>
      <c r="E31" s="382">
        <f t="shared" si="1"/>
        <v>19260.30262758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75">
        <v>4697.61972</v>
      </c>
      <c r="E32" s="382">
        <f t="shared" si="1"/>
        <v>17658.35252748</v>
      </c>
      <c r="F32" s="91"/>
      <c r="G32" s="91"/>
      <c r="H32" s="65"/>
      <c r="I32" s="65"/>
    </row>
    <row r="33" spans="2:9" s="92" customFormat="1" ht="16.5" customHeight="1">
      <c r="B33" s="66" t="s">
        <v>206</v>
      </c>
      <c r="C33" s="83" t="s">
        <v>93</v>
      </c>
      <c r="D33" s="475">
        <v>3740.1266299999997</v>
      </c>
      <c r="E33" s="382">
        <f t="shared" si="1"/>
        <v>14059.13600217</v>
      </c>
      <c r="F33" s="91"/>
      <c r="G33" s="91"/>
      <c r="H33" s="65"/>
      <c r="I33" s="65"/>
    </row>
    <row r="34" spans="2:9" s="92" customFormat="1" ht="16.5" customHeight="1">
      <c r="B34" s="66" t="s">
        <v>69</v>
      </c>
      <c r="C34" s="83" t="s">
        <v>93</v>
      </c>
      <c r="D34" s="475">
        <v>3390.71994</v>
      </c>
      <c r="E34" s="382">
        <f t="shared" si="1"/>
        <v>12745.71625446</v>
      </c>
      <c r="F34" s="91"/>
      <c r="G34" s="91"/>
      <c r="H34" s="65"/>
      <c r="I34" s="65"/>
    </row>
    <row r="35" spans="2:9" s="92" customFormat="1" ht="16.5" customHeight="1">
      <c r="B35" s="93" t="s">
        <v>198</v>
      </c>
      <c r="C35" s="83" t="s">
        <v>93</v>
      </c>
      <c r="D35" s="475">
        <v>3200.4647400000003</v>
      </c>
      <c r="E35" s="382">
        <f t="shared" si="1"/>
        <v>12030.54695766</v>
      </c>
      <c r="F35" s="91"/>
      <c r="G35" s="91"/>
      <c r="H35" s="65"/>
      <c r="I35" s="65"/>
    </row>
    <row r="36" spans="2:9" s="92" customFormat="1" ht="16.5" customHeight="1">
      <c r="B36" s="66" t="s">
        <v>44</v>
      </c>
      <c r="C36" s="83" t="s">
        <v>93</v>
      </c>
      <c r="D36" s="475">
        <v>2189.6165899999996</v>
      </c>
      <c r="E36" s="382">
        <f t="shared" si="1"/>
        <v>8230.76876181</v>
      </c>
      <c r="F36" s="91"/>
      <c r="G36" s="91"/>
      <c r="H36" s="65"/>
      <c r="I36" s="65"/>
    </row>
    <row r="37" spans="2:9" s="92" customFormat="1" ht="16.5" customHeight="1">
      <c r="B37" s="66" t="s">
        <v>49</v>
      </c>
      <c r="C37" s="83" t="s">
        <v>93</v>
      </c>
      <c r="D37" s="475">
        <v>1998.4348799999998</v>
      </c>
      <c r="E37" s="382">
        <f t="shared" si="1"/>
        <v>7512.11671392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75">
        <v>1361.36375</v>
      </c>
      <c r="E38" s="382">
        <f t="shared" si="1"/>
        <v>5117.36633625</v>
      </c>
      <c r="F38" s="91"/>
      <c r="G38" s="91"/>
      <c r="H38" s="65"/>
      <c r="I38" s="65"/>
    </row>
    <row r="39" spans="2:9" s="92" customFormat="1" ht="16.5" customHeight="1">
      <c r="B39" s="66" t="s">
        <v>42</v>
      </c>
      <c r="C39" s="83" t="s">
        <v>93</v>
      </c>
      <c r="D39" s="475">
        <v>910.0138800000001</v>
      </c>
      <c r="E39" s="382">
        <f t="shared" si="1"/>
        <v>3420.74217492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75">
        <v>511.76682</v>
      </c>
      <c r="E40" s="382">
        <f t="shared" si="1"/>
        <v>1923.73147638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93</v>
      </c>
      <c r="D41" s="475">
        <v>433.18222</v>
      </c>
      <c r="E41" s="382">
        <f t="shared" si="1"/>
        <v>1628.33196498</v>
      </c>
      <c r="F41" s="91"/>
      <c r="G41" s="91"/>
      <c r="H41" s="65"/>
      <c r="I41" s="65"/>
    </row>
    <row r="42" spans="2:9" s="92" customFormat="1" ht="16.5" customHeight="1">
      <c r="B42" s="66" t="s">
        <v>232</v>
      </c>
      <c r="C42" s="83" t="s">
        <v>93</v>
      </c>
      <c r="D42" s="475">
        <v>326.59121999999996</v>
      </c>
      <c r="E42" s="382">
        <f t="shared" si="1"/>
        <v>1227.65639598</v>
      </c>
      <c r="F42" s="91"/>
      <c r="G42" s="91"/>
      <c r="H42" s="65"/>
      <c r="I42" s="65"/>
    </row>
    <row r="43" spans="2:9" s="92" customFormat="1" ht="16.5" customHeight="1">
      <c r="B43" s="66" t="s">
        <v>43</v>
      </c>
      <c r="C43" s="83" t="s">
        <v>93</v>
      </c>
      <c r="D43" s="475">
        <v>9.963940000000001</v>
      </c>
      <c r="E43" s="382">
        <f t="shared" si="1"/>
        <v>37.45445046</v>
      </c>
      <c r="F43" s="91"/>
      <c r="G43" s="91"/>
      <c r="H43" s="65"/>
      <c r="I43" s="65"/>
    </row>
    <row r="44" spans="2:7" s="65" customFormat="1" ht="12" customHeight="1">
      <c r="B44" s="93"/>
      <c r="C44" s="83"/>
      <c r="D44" s="475"/>
      <c r="E44" s="382"/>
      <c r="F44" s="91"/>
      <c r="G44" s="91"/>
    </row>
    <row r="45" spans="2:9" s="92" customFormat="1" ht="16.5" customHeight="1">
      <c r="B45" s="369" t="s">
        <v>86</v>
      </c>
      <c r="C45" s="370"/>
      <c r="D45" s="474">
        <f>+D46</f>
        <v>4300000</v>
      </c>
      <c r="E45" s="477">
        <f>+E46</f>
        <v>16163700</v>
      </c>
      <c r="F45" s="91"/>
      <c r="G45" s="91"/>
      <c r="H45" s="65"/>
      <c r="I45" s="65"/>
    </row>
    <row r="46" spans="2:9" s="92" customFormat="1" ht="16.5" customHeight="1">
      <c r="B46" s="93" t="s">
        <v>201</v>
      </c>
      <c r="C46" s="83" t="s">
        <v>93</v>
      </c>
      <c r="D46" s="475">
        <v>4300000</v>
      </c>
      <c r="E46" s="382">
        <f>ROUND(D46*$F$9,8)</f>
        <v>16163700</v>
      </c>
      <c r="F46" s="91"/>
      <c r="G46" s="91"/>
      <c r="H46" s="65"/>
      <c r="I46" s="65"/>
    </row>
    <row r="47" spans="2:7" s="65" customFormat="1" ht="9.75" customHeight="1">
      <c r="B47" s="84"/>
      <c r="C47" s="85"/>
      <c r="D47" s="476"/>
      <c r="E47" s="473"/>
      <c r="F47" s="91"/>
      <c r="G47" s="444"/>
    </row>
    <row r="48" spans="2:9" s="81" customFormat="1" ht="15" customHeight="1">
      <c r="B48" s="605" t="s">
        <v>61</v>
      </c>
      <c r="C48" s="622"/>
      <c r="D48" s="624">
        <f>+D29+D14+D45</f>
        <v>8698528.36187</v>
      </c>
      <c r="E48" s="600">
        <f>+E29+E14+E45</f>
        <v>32697768.11226933</v>
      </c>
      <c r="F48" s="91"/>
      <c r="G48" s="444"/>
      <c r="H48" s="65"/>
      <c r="I48" s="65"/>
    </row>
    <row r="49" spans="2:9" s="81" customFormat="1" ht="15" customHeight="1">
      <c r="B49" s="606"/>
      <c r="C49" s="623"/>
      <c r="D49" s="625"/>
      <c r="E49" s="601"/>
      <c r="F49" s="91"/>
      <c r="G49" s="444"/>
      <c r="H49" s="65"/>
      <c r="I49" s="65"/>
    </row>
    <row r="50" spans="2:9" ht="15">
      <c r="B50" s="141"/>
      <c r="C50" s="141"/>
      <c r="D50" s="523"/>
      <c r="E50" s="141"/>
      <c r="F50" s="91"/>
      <c r="G50" s="444"/>
      <c r="H50" s="65"/>
      <c r="I50" s="65"/>
    </row>
    <row r="51" spans="2:9" ht="15">
      <c r="B51" s="141"/>
      <c r="C51" s="141"/>
      <c r="D51" s="454"/>
      <c r="E51" s="421"/>
      <c r="F51" s="91"/>
      <c r="G51" s="444"/>
      <c r="H51" s="65"/>
      <c r="I51" s="65"/>
    </row>
    <row r="52" spans="2:9" ht="15">
      <c r="B52" s="141"/>
      <c r="C52" s="141"/>
      <c r="D52" s="422"/>
      <c r="E52" s="423"/>
      <c r="F52" s="91"/>
      <c r="G52" s="444"/>
      <c r="H52" s="65"/>
      <c r="I52" s="65"/>
    </row>
    <row r="53" spans="2:9" ht="15">
      <c r="B53" s="141"/>
      <c r="C53" s="423"/>
      <c r="D53" s="422"/>
      <c r="E53" s="423"/>
      <c r="F53" s="91"/>
      <c r="G53" s="444"/>
      <c r="H53" s="65"/>
      <c r="I53" s="65"/>
    </row>
    <row r="54" spans="2:9" ht="15">
      <c r="B54" s="141"/>
      <c r="C54" s="141"/>
      <c r="D54" s="424"/>
      <c r="E54" s="424"/>
      <c r="F54" s="91"/>
      <c r="G54" s="65"/>
      <c r="H54" s="65"/>
      <c r="I54" s="65"/>
    </row>
    <row r="55" spans="2:7" ht="18">
      <c r="B55" s="365" t="s">
        <v>120</v>
      </c>
      <c r="C55" s="365"/>
      <c r="D55" s="365"/>
      <c r="E55" s="365"/>
      <c r="F55" s="420"/>
      <c r="G55" s="444"/>
    </row>
    <row r="56" spans="2:7" s="89" customFormat="1" ht="18.75">
      <c r="B56" s="366" t="s">
        <v>136</v>
      </c>
      <c r="C56" s="366"/>
      <c r="D56" s="366"/>
      <c r="E56" s="366"/>
      <c r="F56" s="420"/>
      <c r="G56" s="444"/>
    </row>
    <row r="57" spans="2:7" s="89" customFormat="1" ht="18.75">
      <c r="B57" s="366" t="s">
        <v>137</v>
      </c>
      <c r="C57" s="366"/>
      <c r="D57" s="366"/>
      <c r="E57" s="258"/>
      <c r="F57" s="420"/>
      <c r="G57" s="65"/>
    </row>
    <row r="58" spans="2:7" s="89" customFormat="1" ht="18.75">
      <c r="B58" s="368" t="s">
        <v>58</v>
      </c>
      <c r="C58" s="367"/>
      <c r="D58" s="367"/>
      <c r="E58" s="367"/>
      <c r="F58" s="420"/>
      <c r="G58" s="65"/>
    </row>
    <row r="59" spans="2:7" s="89" customFormat="1" ht="18.75">
      <c r="B59" s="133" t="str">
        <f>+B9</f>
        <v>Al 28 de febrero de 2022</v>
      </c>
      <c r="C59" s="364"/>
      <c r="D59" s="257"/>
      <c r="E59" s="257"/>
      <c r="F59" s="420"/>
      <c r="G59" s="65"/>
    </row>
    <row r="60" spans="2:7" ht="6" customHeight="1">
      <c r="B60" s="626"/>
      <c r="C60" s="626"/>
      <c r="D60" s="626"/>
      <c r="E60" s="626"/>
      <c r="F60" s="420"/>
      <c r="G60" s="65"/>
    </row>
    <row r="61" spans="2:5" ht="18" customHeight="1">
      <c r="B61" s="608" t="s">
        <v>96</v>
      </c>
      <c r="C61" s="608" t="s">
        <v>26</v>
      </c>
      <c r="D61" s="619" t="s">
        <v>87</v>
      </c>
      <c r="E61" s="620" t="s">
        <v>164</v>
      </c>
    </row>
    <row r="62" spans="2:6" s="81" customFormat="1" ht="18" customHeight="1">
      <c r="B62" s="609"/>
      <c r="C62" s="609"/>
      <c r="D62" s="603"/>
      <c r="E62" s="621"/>
      <c r="F62" s="90"/>
    </row>
    <row r="63" spans="2:6" s="81" customFormat="1" ht="9.75" customHeight="1">
      <c r="B63" s="110"/>
      <c r="C63" s="256"/>
      <c r="D63" s="94"/>
      <c r="E63" s="521"/>
      <c r="F63" s="90"/>
    </row>
    <row r="64" spans="2:7" s="65" customFormat="1" ht="16.5" customHeight="1">
      <c r="B64" s="369" t="s">
        <v>85</v>
      </c>
      <c r="C64" s="370"/>
      <c r="D64" s="474">
        <f>SUM(D65:D73)</f>
        <v>157825.61079000004</v>
      </c>
      <c r="E64" s="381">
        <f>SUM(E65:E73)</f>
        <v>593266.47095961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75">
        <v>68621.98708000004</v>
      </c>
      <c r="E65" s="382">
        <f>ROUND(D65*$F$9,8)</f>
        <v>257950.04943372</v>
      </c>
      <c r="F65" s="71"/>
      <c r="G65" s="71"/>
    </row>
    <row r="66" spans="2:7" s="65" customFormat="1" ht="16.5" customHeight="1">
      <c r="B66" s="93" t="s">
        <v>171</v>
      </c>
      <c r="C66" s="83" t="s">
        <v>93</v>
      </c>
      <c r="D66" s="475">
        <v>23410.481490000006</v>
      </c>
      <c r="E66" s="382">
        <f>ROUND(D66*$F$9,8)</f>
        <v>87999.99992091</v>
      </c>
      <c r="F66" s="71"/>
      <c r="G66" s="71"/>
    </row>
    <row r="67" spans="2:7" s="65" customFormat="1" ht="16.5" customHeight="1">
      <c r="B67" s="93" t="s">
        <v>168</v>
      </c>
      <c r="C67" s="83" t="s">
        <v>93</v>
      </c>
      <c r="D67" s="475">
        <v>16600.159620000002</v>
      </c>
      <c r="E67" s="382">
        <f>ROUND(D67*$F$9,8)</f>
        <v>62400.00001158</v>
      </c>
      <c r="F67" s="71"/>
      <c r="G67" s="71"/>
    </row>
    <row r="68" spans="2:7" s="65" customFormat="1" ht="16.5" customHeight="1">
      <c r="B68" s="93" t="s">
        <v>230</v>
      </c>
      <c r="C68" s="83" t="s">
        <v>93</v>
      </c>
      <c r="D68" s="475">
        <v>15429.635530000001</v>
      </c>
      <c r="E68" s="382">
        <f>ROUND(D68*$F$9,8)</f>
        <v>57999.99995727</v>
      </c>
      <c r="F68" s="71"/>
      <c r="G68" s="71"/>
    </row>
    <row r="69" spans="2:7" s="65" customFormat="1" ht="16.5" customHeight="1">
      <c r="B69" s="93" t="s">
        <v>193</v>
      </c>
      <c r="C69" s="83" t="s">
        <v>93</v>
      </c>
      <c r="D69" s="475">
        <v>10641.127960000002</v>
      </c>
      <c r="E69" s="382">
        <f>ROUND(D69*$F$9,8)</f>
        <v>40000.00000164</v>
      </c>
      <c r="F69" s="71"/>
      <c r="G69" s="71"/>
    </row>
    <row r="70" spans="2:7" s="65" customFormat="1" ht="16.5" customHeight="1">
      <c r="B70" s="93" t="s">
        <v>218</v>
      </c>
      <c r="C70" s="83" t="s">
        <v>93</v>
      </c>
      <c r="D70" s="475">
        <v>10485.474049999999</v>
      </c>
      <c r="E70" s="382">
        <f>ROUND(D70*$F$9,8)</f>
        <v>39414.89695395</v>
      </c>
      <c r="F70" s="71"/>
      <c r="G70" s="71"/>
    </row>
    <row r="71" spans="2:7" s="65" customFormat="1" ht="16.5" customHeight="1">
      <c r="B71" s="93" t="s">
        <v>240</v>
      </c>
      <c r="C71" s="83" t="s">
        <v>93</v>
      </c>
      <c r="D71" s="475">
        <v>5986.0400899999995</v>
      </c>
      <c r="E71" s="382">
        <f>ROUND(D71*$F$9,8)</f>
        <v>22501.52469831</v>
      </c>
      <c r="F71" s="71"/>
      <c r="G71" s="71"/>
    </row>
    <row r="72" spans="2:7" s="65" customFormat="1" ht="16.5" customHeight="1">
      <c r="B72" s="93" t="s">
        <v>258</v>
      </c>
      <c r="C72" s="83" t="s">
        <v>93</v>
      </c>
      <c r="D72" s="475">
        <v>3990.42298</v>
      </c>
      <c r="E72" s="382">
        <f>ROUND(D72*$F$9,8)</f>
        <v>14999.99998182</v>
      </c>
      <c r="F72" s="71"/>
      <c r="G72" s="71"/>
    </row>
    <row r="73" spans="2:7" s="65" customFormat="1" ht="16.5" customHeight="1">
      <c r="B73" s="93" t="s">
        <v>251</v>
      </c>
      <c r="C73" s="83" t="s">
        <v>93</v>
      </c>
      <c r="D73" s="475">
        <v>2660.2819900000004</v>
      </c>
      <c r="E73" s="382">
        <f>ROUND(D73*$F$9,8)</f>
        <v>10000.00000041</v>
      </c>
      <c r="F73" s="71"/>
      <c r="G73" s="71"/>
    </row>
    <row r="74" spans="2:7" s="65" customFormat="1" ht="12" customHeight="1">
      <c r="B74" s="70"/>
      <c r="C74" s="72"/>
      <c r="D74" s="478"/>
      <c r="E74" s="389"/>
      <c r="F74" s="71"/>
      <c r="G74" s="71"/>
    </row>
    <row r="75" spans="2:7" s="92" customFormat="1" ht="16.5" customHeight="1">
      <c r="B75" s="369" t="s">
        <v>159</v>
      </c>
      <c r="C75" s="72"/>
      <c r="D75" s="474">
        <f>+D76</f>
        <v>437848.26057</v>
      </c>
      <c r="E75" s="381">
        <f>+E76</f>
        <v>1645871.61148263</v>
      </c>
      <c r="F75" s="71"/>
      <c r="G75" s="444"/>
    </row>
    <row r="76" spans="2:7" s="92" customFormat="1" ht="16.5" customHeight="1">
      <c r="B76" s="93" t="s">
        <v>201</v>
      </c>
      <c r="C76" s="83" t="s">
        <v>93</v>
      </c>
      <c r="D76" s="475">
        <v>437848.26057</v>
      </c>
      <c r="E76" s="382">
        <f>ROUND(D76*$F$9,8)</f>
        <v>1645871.61148263</v>
      </c>
      <c r="F76" s="71"/>
      <c r="G76" s="444"/>
    </row>
    <row r="77" spans="2:7" s="65" customFormat="1" ht="9.75" customHeight="1">
      <c r="B77" s="84"/>
      <c r="C77" s="85"/>
      <c r="D77" s="476"/>
      <c r="E77" s="473"/>
      <c r="F77" s="71"/>
      <c r="G77" s="444"/>
    </row>
    <row r="78" spans="2:7" s="81" customFormat="1" ht="15" customHeight="1">
      <c r="B78" s="605" t="s">
        <v>61</v>
      </c>
      <c r="C78" s="622"/>
      <c r="D78" s="624">
        <f>+D64+D75</f>
        <v>595673.87136</v>
      </c>
      <c r="E78" s="600">
        <f>+E64+E75</f>
        <v>2239138.08244224</v>
      </c>
      <c r="F78" s="71"/>
      <c r="G78" s="444"/>
    </row>
    <row r="79" spans="2:6" s="81" customFormat="1" ht="15" customHeight="1">
      <c r="B79" s="606"/>
      <c r="C79" s="623"/>
      <c r="D79" s="625"/>
      <c r="E79" s="601"/>
      <c r="F79" s="90"/>
    </row>
    <row r="80" spans="4:5" ht="12.75">
      <c r="D80" s="193"/>
      <c r="E80" s="193"/>
    </row>
    <row r="81" spans="2:5" ht="15">
      <c r="B81" s="134"/>
      <c r="D81" s="371"/>
      <c r="E81" s="294"/>
    </row>
    <row r="82" spans="2:5" ht="15">
      <c r="B82" s="134"/>
      <c r="D82" s="371"/>
      <c r="E82" s="294"/>
    </row>
    <row r="83" spans="4:5" ht="12.75">
      <c r="D83" s="295"/>
      <c r="E83" s="295"/>
    </row>
    <row r="84" spans="4:5" ht="12.75">
      <c r="D84" s="245"/>
      <c r="E84" s="245"/>
    </row>
  </sheetData>
  <sheetProtection/>
  <mergeCells count="18">
    <mergeCell ref="B10:E10"/>
    <mergeCell ref="B11:B12"/>
    <mergeCell ref="C11:C12"/>
    <mergeCell ref="E11:E12"/>
    <mergeCell ref="D11:D12"/>
    <mergeCell ref="E78:E79"/>
    <mergeCell ref="B78:B79"/>
    <mergeCell ref="C78:C79"/>
    <mergeCell ref="D78:D79"/>
    <mergeCell ref="B60:E60"/>
    <mergeCell ref="B61:B62"/>
    <mergeCell ref="C61:C62"/>
    <mergeCell ref="D61:D62"/>
    <mergeCell ref="E61:E62"/>
    <mergeCell ref="B48:B49"/>
    <mergeCell ref="C48:C49"/>
    <mergeCell ref="D48:D49"/>
    <mergeCell ref="E48:E4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2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33"/>
      <c r="C1" s="633"/>
      <c r="D1" s="633"/>
      <c r="E1" s="633"/>
    </row>
    <row r="2" spans="2:5" s="136" customFormat="1" ht="18.75" customHeight="1">
      <c r="B2" s="633"/>
      <c r="C2" s="633"/>
      <c r="D2" s="633"/>
      <c r="E2" s="633"/>
    </row>
    <row r="3" spans="2:5" s="136" customFormat="1" ht="11.25" customHeight="1">
      <c r="B3" s="633"/>
      <c r="C3" s="633"/>
      <c r="D3" s="633"/>
      <c r="E3" s="633"/>
    </row>
    <row r="4" spans="2:11" s="136" customFormat="1" ht="15" customHeight="1">
      <c r="B4" s="633"/>
      <c r="C4" s="633"/>
      <c r="D4" s="633"/>
      <c r="E4" s="633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28 de febrero de 2022</v>
      </c>
      <c r="C9" s="133"/>
      <c r="D9" s="133"/>
      <c r="E9" s="266"/>
      <c r="F9" s="372">
        <f>+Portada!H39</f>
        <v>3.759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27" t="s">
        <v>101</v>
      </c>
      <c r="D11" s="629" t="s">
        <v>87</v>
      </c>
      <c r="E11" s="592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28"/>
      <c r="D12" s="630"/>
      <c r="E12" s="593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4870588.31649</v>
      </c>
      <c r="E14" s="381">
        <f>+E15+E18+E20+E22+E25</f>
        <v>18308541.481689997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1300000</v>
      </c>
      <c r="E15" s="472">
        <f>SUM(E16:E17)</f>
        <v>4886700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231</v>
      </c>
      <c r="C16" s="74" t="s">
        <v>103</v>
      </c>
      <c r="D16" s="384">
        <v>1300000</v>
      </c>
      <c r="E16" s="384">
        <f>ROUND(+D16*$F$9,5)</f>
        <v>4886700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188</v>
      </c>
      <c r="C17" s="74" t="s">
        <v>102</v>
      </c>
      <c r="D17" s="384">
        <v>0</v>
      </c>
      <c r="E17" s="384">
        <f>ROUND(+D17*$F$9,5)</f>
        <v>0</v>
      </c>
      <c r="G17" s="522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2">
        <f>+D19</f>
        <v>1652.19479</v>
      </c>
      <c r="E18" s="472">
        <f>+E19</f>
        <v>6210.60022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1652.19479</v>
      </c>
      <c r="E19" s="384">
        <f aca="true" t="shared" si="0" ref="E19:E24">ROUND(+D19*$F$9,5)</f>
        <v>6210.60022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2">
        <f>+D21</f>
        <v>3000000</v>
      </c>
      <c r="E20" s="472">
        <f>+E21</f>
        <v>11277000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224</v>
      </c>
      <c r="C21" s="74" t="s">
        <v>103</v>
      </c>
      <c r="D21" s="384">
        <v>3000000</v>
      </c>
      <c r="E21" s="384">
        <f>ROUND(+D21*$F$9,5)</f>
        <v>11277000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2">
        <f>SUM(D23:D24)</f>
        <v>506765.81484999997</v>
      </c>
      <c r="E22" s="472">
        <f>SUM(E23:E24)</f>
        <v>1904932.69802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225</v>
      </c>
      <c r="C23" s="74" t="s">
        <v>102</v>
      </c>
      <c r="D23" s="384">
        <v>343498.13229</v>
      </c>
      <c r="E23" s="384">
        <f t="shared" si="0"/>
        <v>1291209.47928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163267.68256</v>
      </c>
      <c r="E24" s="384">
        <f t="shared" si="0"/>
        <v>613723.21874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62170.30685</v>
      </c>
      <c r="E25" s="472">
        <f>SUM(E26:E27)</f>
        <v>233698.18344999998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62160.34291</v>
      </c>
      <c r="E26" s="384">
        <f>ROUND(+D26*$F$9,5)</f>
        <v>233660.729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9.96394</v>
      </c>
      <c r="E27" s="384">
        <f>ROUND(+D27*$F$9,5)</f>
        <v>37.45445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+D30+D34+D36+D39+D41</f>
        <v>3827940.0453799996</v>
      </c>
      <c r="E29" s="381">
        <f>+E30+E34+E36+E39+E41</f>
        <v>14389226.63059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SUM(D31:D33)</f>
        <v>127618.03083</v>
      </c>
      <c r="E30" s="472">
        <f>SUM(E31:E33)</f>
        <v>479716.17789999995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81404.62889</v>
      </c>
      <c r="E31" s="384">
        <f>ROUND(+D31*$F$9,5)</f>
        <v>306000</v>
      </c>
      <c r="F31" s="388"/>
    </row>
    <row r="32" spans="2:6" s="65" customFormat="1" ht="16.5" customHeight="1">
      <c r="B32" s="388" t="s">
        <v>188</v>
      </c>
      <c r="C32" s="74" t="s">
        <v>102</v>
      </c>
      <c r="D32" s="384">
        <v>45772.91927</v>
      </c>
      <c r="E32" s="384">
        <f>ROUND(+D32*$F$9,5)</f>
        <v>172060.40354</v>
      </c>
      <c r="F32" s="388"/>
    </row>
    <row r="33" spans="2:6" s="65" customFormat="1" ht="16.5" customHeight="1">
      <c r="B33" s="388" t="s">
        <v>184</v>
      </c>
      <c r="C33" s="74" t="s">
        <v>102</v>
      </c>
      <c r="D33" s="384">
        <v>440.48267</v>
      </c>
      <c r="E33" s="384">
        <f>ROUND(+D33*$F$9,5)</f>
        <v>1655.77436</v>
      </c>
      <c r="F33" s="388"/>
    </row>
    <row r="34" spans="2:6" s="65" customFormat="1" ht="16.5" customHeight="1">
      <c r="B34" s="73" t="s">
        <v>125</v>
      </c>
      <c r="C34" s="74"/>
      <c r="D34" s="472">
        <f>+D35</f>
        <v>452159.26222</v>
      </c>
      <c r="E34" s="472">
        <f>+E35</f>
        <v>1699666.66668</v>
      </c>
      <c r="F34" s="261"/>
    </row>
    <row r="35" spans="2:7" s="65" customFormat="1" ht="16.5" customHeight="1">
      <c r="B35" s="388" t="s">
        <v>185</v>
      </c>
      <c r="C35" s="74" t="s">
        <v>102</v>
      </c>
      <c r="D35" s="384">
        <v>452159.26222</v>
      </c>
      <c r="E35" s="384">
        <f>ROUND(+D35*$F$9,5)</f>
        <v>1699666.66668</v>
      </c>
      <c r="G35" s="353"/>
    </row>
    <row r="36" spans="2:5" s="65" customFormat="1" ht="16.5" customHeight="1">
      <c r="B36" s="73" t="s">
        <v>75</v>
      </c>
      <c r="C36" s="74"/>
      <c r="D36" s="472">
        <f>SUM(D37:D38)</f>
        <v>2844075.5070599997</v>
      </c>
      <c r="E36" s="472">
        <f>SUM(E37:E38)</f>
        <v>10690879.831039999</v>
      </c>
    </row>
    <row r="37" spans="2:5" s="65" customFormat="1" ht="16.5" customHeight="1">
      <c r="B37" s="393" t="s">
        <v>226</v>
      </c>
      <c r="C37" s="74" t="s">
        <v>103</v>
      </c>
      <c r="D37" s="384">
        <v>2260590.29848</v>
      </c>
      <c r="E37" s="384">
        <f>ROUND(+D37*$F$9,5)</f>
        <v>8497558.93199</v>
      </c>
    </row>
    <row r="38" spans="2:5" s="65" customFormat="1" ht="16.5" customHeight="1">
      <c r="B38" s="393" t="s">
        <v>227</v>
      </c>
      <c r="C38" s="74" t="s">
        <v>102</v>
      </c>
      <c r="D38" s="384">
        <v>583485.20858</v>
      </c>
      <c r="E38" s="384">
        <f>ROUND(+D38*$F$9,5)</f>
        <v>2193320.89905</v>
      </c>
    </row>
    <row r="39" spans="2:5" s="65" customFormat="1" ht="16.5" customHeight="1">
      <c r="B39" s="73" t="s">
        <v>88</v>
      </c>
      <c r="C39" s="73"/>
      <c r="D39" s="472">
        <f>+D40</f>
        <v>28532.70252</v>
      </c>
      <c r="E39" s="472">
        <f>+E40</f>
        <v>107254.42877</v>
      </c>
    </row>
    <row r="40" spans="2:5" s="65" customFormat="1" ht="16.5" customHeight="1">
      <c r="B40" s="388" t="s">
        <v>225</v>
      </c>
      <c r="C40" s="74" t="s">
        <v>102</v>
      </c>
      <c r="D40" s="384">
        <v>28532.70252</v>
      </c>
      <c r="E40" s="384">
        <f>ROUND(+D40*$F$9,5)</f>
        <v>107254.42877</v>
      </c>
    </row>
    <row r="41" spans="2:5" s="65" customFormat="1" ht="16.5" customHeight="1">
      <c r="B41" s="73" t="s">
        <v>36</v>
      </c>
      <c r="C41" s="74"/>
      <c r="D41" s="472">
        <f>SUM(D42:D46)</f>
        <v>375554.54275</v>
      </c>
      <c r="E41" s="472">
        <f>SUM(E42:E46)</f>
        <v>1411709.5262</v>
      </c>
    </row>
    <row r="42" spans="2:5" s="65" customFormat="1" ht="16.5" customHeight="1">
      <c r="B42" s="388" t="s">
        <v>166</v>
      </c>
      <c r="C42" s="74" t="s">
        <v>103</v>
      </c>
      <c r="D42" s="384">
        <v>173456.59312</v>
      </c>
      <c r="E42" s="384">
        <f>ROUND(+D42*$F$9,5)</f>
        <v>652023.33354</v>
      </c>
    </row>
    <row r="43" spans="2:7" s="65" customFormat="1" ht="16.5" customHeight="1">
      <c r="B43" s="388" t="s">
        <v>233</v>
      </c>
      <c r="C43" s="74" t="s">
        <v>103</v>
      </c>
      <c r="D43" s="384">
        <v>153071.90433</v>
      </c>
      <c r="E43" s="384">
        <f>ROUND(+D43*$F$9,5)</f>
        <v>575397.28838</v>
      </c>
      <c r="G43" s="501"/>
    </row>
    <row r="44" spans="2:7" s="65" customFormat="1" ht="16.5" customHeight="1">
      <c r="B44" s="388" t="s">
        <v>234</v>
      </c>
      <c r="C44" s="74" t="s">
        <v>103</v>
      </c>
      <c r="D44" s="384">
        <v>25000</v>
      </c>
      <c r="E44" s="384">
        <f>ROUND(+D44*$F$9,5)</f>
        <v>93975</v>
      </c>
      <c r="G44" s="501"/>
    </row>
    <row r="45" spans="2:7" s="65" customFormat="1" ht="16.5" customHeight="1">
      <c r="B45" s="388" t="s">
        <v>210</v>
      </c>
      <c r="C45" s="74" t="s">
        <v>102</v>
      </c>
      <c r="D45" s="384">
        <v>18241.93366</v>
      </c>
      <c r="E45" s="384">
        <f>ROUND(+D45*$F$9,5)</f>
        <v>68571.42863</v>
      </c>
      <c r="G45" s="501"/>
    </row>
    <row r="46" spans="2:8" s="65" customFormat="1" ht="16.5" customHeight="1">
      <c r="B46" s="388" t="s">
        <v>167</v>
      </c>
      <c r="C46" s="74" t="s">
        <v>103</v>
      </c>
      <c r="D46" s="384">
        <v>5784.11164</v>
      </c>
      <c r="E46" s="384">
        <f>ROUND(+D46*$F$9,5)</f>
        <v>21742.47565</v>
      </c>
      <c r="H46" s="361"/>
    </row>
    <row r="47" spans="2:5" s="65" customFormat="1" ht="9.75" customHeight="1">
      <c r="B47" s="143"/>
      <c r="C47" s="144"/>
      <c r="D47" s="473"/>
      <c r="E47" s="473"/>
    </row>
    <row r="48" spans="2:5" s="81" customFormat="1" ht="15" customHeight="1">
      <c r="B48" s="632" t="s">
        <v>100</v>
      </c>
      <c r="C48" s="145"/>
      <c r="D48" s="638">
        <f>+D29+D14</f>
        <v>8698528.36187</v>
      </c>
      <c r="E48" s="600">
        <f>+E29+E14</f>
        <v>32697768.112279996</v>
      </c>
    </row>
    <row r="49" spans="2:5" s="81" customFormat="1" ht="15" customHeight="1">
      <c r="B49" s="606"/>
      <c r="C49" s="146"/>
      <c r="D49" s="601"/>
      <c r="E49" s="601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255</v>
      </c>
      <c r="C51" s="86"/>
      <c r="D51" s="524"/>
      <c r="E51" s="65"/>
    </row>
    <row r="52" spans="2:5" ht="14.25" customHeight="1">
      <c r="B52" s="86" t="s">
        <v>223</v>
      </c>
      <c r="C52" s="86"/>
      <c r="D52" s="86"/>
      <c r="E52" s="65"/>
    </row>
    <row r="53" spans="2:5" ht="14.25" customHeight="1">
      <c r="B53" s="86" t="s">
        <v>261</v>
      </c>
      <c r="C53" s="86"/>
      <c r="D53" s="169"/>
      <c r="E53" s="65"/>
    </row>
    <row r="54" spans="2:5" ht="14.25" customHeight="1">
      <c r="B54" s="86" t="s">
        <v>262</v>
      </c>
      <c r="C54" s="86"/>
      <c r="D54" s="86"/>
      <c r="E54" s="211"/>
    </row>
    <row r="55" spans="2:5" ht="12.75">
      <c r="B55" s="455"/>
      <c r="C55" s="86"/>
      <c r="D55" s="86"/>
      <c r="E55" s="211"/>
    </row>
    <row r="56" spans="4:6" ht="15">
      <c r="D56" s="391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31" t="s">
        <v>136</v>
      </c>
      <c r="C61" s="631"/>
      <c r="D61" s="631"/>
      <c r="E61" s="631"/>
      <c r="F61" s="135"/>
    </row>
    <row r="62" spans="2:6" s="136" customFormat="1" ht="18">
      <c r="B62" s="631" t="s">
        <v>137</v>
      </c>
      <c r="C62" s="631"/>
      <c r="D62" s="631"/>
      <c r="E62" s="631"/>
      <c r="F62" s="135"/>
    </row>
    <row r="63" spans="2:5" ht="16.5">
      <c r="B63" s="637" t="s">
        <v>105</v>
      </c>
      <c r="C63" s="637"/>
      <c r="D63" s="637"/>
      <c r="E63" s="637"/>
    </row>
    <row r="64" spans="2:5" ht="15.75">
      <c r="B64" s="604" t="str">
        <f>+B9</f>
        <v>Al 28 de febrero de 2022</v>
      </c>
      <c r="C64" s="604"/>
      <c r="D64" s="604"/>
      <c r="E64" s="253"/>
    </row>
    <row r="65" spans="2:5" ht="9.75" customHeight="1">
      <c r="B65" s="184"/>
      <c r="C65" s="184"/>
      <c r="D65" s="184"/>
      <c r="E65" s="184"/>
    </row>
    <row r="66" spans="2:5" ht="16.5" customHeight="1">
      <c r="B66" s="395" t="s">
        <v>212</v>
      </c>
      <c r="C66" s="627" t="s">
        <v>101</v>
      </c>
      <c r="D66" s="629" t="s">
        <v>87</v>
      </c>
      <c r="E66" s="592" t="s">
        <v>164</v>
      </c>
    </row>
    <row r="67" spans="2:5" s="81" customFormat="1" ht="16.5" customHeight="1">
      <c r="B67" s="394" t="s">
        <v>213</v>
      </c>
      <c r="C67" s="628"/>
      <c r="D67" s="630"/>
      <c r="E67" s="593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2" t="s">
        <v>238</v>
      </c>
      <c r="C69" s="362"/>
      <c r="D69" s="396">
        <f>+D70</f>
        <v>0</v>
      </c>
      <c r="E69" s="396">
        <f>+E70</f>
        <v>0</v>
      </c>
    </row>
    <row r="70" spans="2:5" s="81" customFormat="1" ht="16.5" hidden="1">
      <c r="B70" s="73" t="s">
        <v>35</v>
      </c>
      <c r="C70" s="73"/>
      <c r="D70" s="397">
        <f>SUM(D71:D71)</f>
        <v>0</v>
      </c>
      <c r="E70" s="397">
        <f>SUM(E71:E71)</f>
        <v>0</v>
      </c>
    </row>
    <row r="71" spans="2:5" s="81" customFormat="1" ht="16.5" hidden="1">
      <c r="B71" s="388"/>
      <c r="C71" s="74"/>
      <c r="D71" s="425">
        <v>0</v>
      </c>
      <c r="E71" s="392">
        <f>ROUND(+D71*$F$9,5)</f>
        <v>0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2" t="s">
        <v>236</v>
      </c>
      <c r="C73" s="362"/>
      <c r="D73" s="396">
        <f>+D74+D83+D85</f>
        <v>595673.87136</v>
      </c>
      <c r="E73" s="396">
        <f>+E74+E83+E85</f>
        <v>2239138.08244</v>
      </c>
    </row>
    <row r="74" spans="2:5" s="65" customFormat="1" ht="16.5" customHeight="1">
      <c r="B74" s="73" t="s">
        <v>35</v>
      </c>
      <c r="C74" s="73"/>
      <c r="D74" s="397">
        <f>SUM(D75:D82)</f>
        <v>516683.4483800001</v>
      </c>
      <c r="E74" s="397">
        <f>SUM(E75:E82)</f>
        <v>1942213.0824600002</v>
      </c>
    </row>
    <row r="75" spans="2:5" s="65" customFormat="1" ht="16.5" customHeight="1">
      <c r="B75" s="388" t="s">
        <v>157</v>
      </c>
      <c r="C75" s="74" t="s">
        <v>102</v>
      </c>
      <c r="D75" s="425">
        <v>215929.29628</v>
      </c>
      <c r="E75" s="392">
        <f>ROUND(+D75*$F$9,5)</f>
        <v>811678.22472</v>
      </c>
    </row>
    <row r="76" spans="2:5" s="65" customFormat="1" ht="16.5" customHeight="1">
      <c r="B76" s="388" t="s">
        <v>188</v>
      </c>
      <c r="C76" s="74" t="s">
        <v>102</v>
      </c>
      <c r="D76" s="425">
        <v>98707.50855</v>
      </c>
      <c r="E76" s="392">
        <f>ROUND(+D76*$F$9,5)</f>
        <v>371041.52464</v>
      </c>
    </row>
    <row r="77" spans="2:5" s="65" customFormat="1" ht="16.5" customHeight="1">
      <c r="B77" s="388" t="s">
        <v>256</v>
      </c>
      <c r="C77" s="74" t="s">
        <v>103</v>
      </c>
      <c r="D77" s="425">
        <v>60000</v>
      </c>
      <c r="E77" s="392">
        <f>ROUND(+D77*$F$9,5)</f>
        <v>225540</v>
      </c>
    </row>
    <row r="78" spans="2:5" s="65" customFormat="1" ht="16.5" customHeight="1">
      <c r="B78" s="388" t="s">
        <v>187</v>
      </c>
      <c r="C78" s="74" t="s">
        <v>102</v>
      </c>
      <c r="D78" s="425">
        <v>50767.04791</v>
      </c>
      <c r="E78" s="392">
        <f>ROUND(+D78*$F$9,5)</f>
        <v>190833.33309</v>
      </c>
    </row>
    <row r="79" spans="2:5" s="65" customFormat="1" ht="16.5" customHeight="1">
      <c r="B79" s="388" t="s">
        <v>253</v>
      </c>
      <c r="C79" s="74" t="s">
        <v>103</v>
      </c>
      <c r="D79" s="425">
        <v>30000</v>
      </c>
      <c r="E79" s="392">
        <f>ROUND(+D79*$F$9,5)</f>
        <v>112770</v>
      </c>
    </row>
    <row r="80" spans="2:5" s="65" customFormat="1" ht="16.5" customHeight="1">
      <c r="B80" s="388" t="s">
        <v>248</v>
      </c>
      <c r="C80" s="74" t="s">
        <v>102</v>
      </c>
      <c r="D80" s="425">
        <v>30000</v>
      </c>
      <c r="E80" s="392">
        <f>ROUND(+D80*$F$9,5)</f>
        <v>112770</v>
      </c>
    </row>
    <row r="81" spans="2:5" s="65" customFormat="1" ht="16.5" customHeight="1">
      <c r="B81" s="388" t="s">
        <v>184</v>
      </c>
      <c r="C81" s="74" t="s">
        <v>102</v>
      </c>
      <c r="D81" s="425">
        <v>20000</v>
      </c>
      <c r="E81" s="392">
        <f>ROUND(+D81*$F$9,5)</f>
        <v>75180</v>
      </c>
    </row>
    <row r="82" spans="2:5" s="65" customFormat="1" ht="16.5" customHeight="1">
      <c r="B82" s="388" t="s">
        <v>257</v>
      </c>
      <c r="C82" s="74" t="s">
        <v>102</v>
      </c>
      <c r="D82" s="425">
        <v>11279.59564</v>
      </c>
      <c r="E82" s="392">
        <f>ROUND(+D82*$F$9,5)</f>
        <v>42400.00001</v>
      </c>
    </row>
    <row r="83" spans="2:5" s="65" customFormat="1" ht="16.5" customHeight="1">
      <c r="B83" s="73" t="s">
        <v>125</v>
      </c>
      <c r="C83" s="75"/>
      <c r="D83" s="397">
        <f>+D84</f>
        <v>3990.42298</v>
      </c>
      <c r="E83" s="397">
        <f>+E84</f>
        <v>14999.99998</v>
      </c>
    </row>
    <row r="84" spans="2:5" s="65" customFormat="1" ht="16.5" customHeight="1">
      <c r="B84" s="388" t="s">
        <v>185</v>
      </c>
      <c r="C84" s="74" t="s">
        <v>102</v>
      </c>
      <c r="D84" s="425">
        <v>3990.42298</v>
      </c>
      <c r="E84" s="392">
        <f>ROUND(+D84*$F$9,5)</f>
        <v>14999.99998</v>
      </c>
    </row>
    <row r="85" spans="2:5" s="65" customFormat="1" ht="16.5" customHeight="1">
      <c r="B85" s="73" t="s">
        <v>36</v>
      </c>
      <c r="C85" s="74"/>
      <c r="D85" s="397">
        <f>SUM(D86:D86)</f>
        <v>75000</v>
      </c>
      <c r="E85" s="397">
        <f>SUM(E86:E86)</f>
        <v>281925</v>
      </c>
    </row>
    <row r="86" spans="2:5" s="65" customFormat="1" ht="16.5" customHeight="1">
      <c r="B86" s="388" t="s">
        <v>179</v>
      </c>
      <c r="C86" s="74" t="s">
        <v>103</v>
      </c>
      <c r="D86" s="425">
        <v>75000</v>
      </c>
      <c r="E86" s="392">
        <f>ROUND(+D86*$F$9,5)</f>
        <v>281925</v>
      </c>
    </row>
    <row r="87" spans="2:9" s="65" customFormat="1" ht="9.75" customHeight="1">
      <c r="B87" s="143"/>
      <c r="C87" s="143"/>
      <c r="D87" s="398"/>
      <c r="E87" s="398"/>
      <c r="G87" s="444"/>
      <c r="H87" s="444"/>
      <c r="I87" s="444"/>
    </row>
    <row r="88" spans="2:7" s="81" customFormat="1" ht="15" customHeight="1">
      <c r="B88" s="605" t="s">
        <v>100</v>
      </c>
      <c r="C88" s="145"/>
      <c r="D88" s="634">
        <f>+D69+D73</f>
        <v>595673.87136</v>
      </c>
      <c r="E88" s="636">
        <f>+E69+E73</f>
        <v>2239138.08244</v>
      </c>
      <c r="G88" s="65"/>
    </row>
    <row r="89" spans="2:7" s="81" customFormat="1" ht="15" customHeight="1">
      <c r="B89" s="606"/>
      <c r="C89" s="146"/>
      <c r="D89" s="635"/>
      <c r="E89" s="635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5"/>
      <c r="E91" s="435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B1:E1"/>
    <mergeCell ref="B2:E2"/>
    <mergeCell ref="B3:E3"/>
    <mergeCell ref="B4:E4"/>
    <mergeCell ref="E11:E12"/>
    <mergeCell ref="B88:B89"/>
    <mergeCell ref="D88:D89"/>
    <mergeCell ref="E88:E89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6:E41 E34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28 de febrero de 2022</v>
      </c>
      <c r="C9" s="376"/>
      <c r="D9" s="297"/>
      <c r="E9" s="377">
        <f>+Portada!H39</f>
        <v>3.759</v>
      </c>
      <c r="P9" s="196"/>
    </row>
    <row r="10" spans="2:16" s="77" customFormat="1" ht="9.75" customHeight="1">
      <c r="B10" s="546"/>
      <c r="C10" s="546"/>
      <c r="D10" s="546"/>
      <c r="E10" s="212"/>
      <c r="P10" s="197"/>
    </row>
    <row r="11" spans="2:16" ht="16.5" customHeight="1">
      <c r="B11" s="557" t="s">
        <v>97</v>
      </c>
      <c r="C11" s="639" t="s">
        <v>87</v>
      </c>
      <c r="D11" s="641" t="s">
        <v>164</v>
      </c>
      <c r="P11" s="196"/>
    </row>
    <row r="12" spans="2:16" s="111" customFormat="1" ht="16.5" customHeight="1">
      <c r="B12" s="558"/>
      <c r="C12" s="640"/>
      <c r="D12" s="642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06">
        <f>+C16+C35</f>
        <v>8326497.527059998</v>
      </c>
      <c r="D14" s="506">
        <f>+D16+D35</f>
        <v>31299304.204229996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06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SUM(C17:C33)</f>
        <v>4527090.184199999</v>
      </c>
      <c r="D16" s="381">
        <f>SUM(D17:D33)</f>
        <v>17017332.002419997</v>
      </c>
      <c r="E16" s="458"/>
      <c r="F16" s="458"/>
      <c r="P16" s="197"/>
    </row>
    <row r="17" spans="2:16" s="77" customFormat="1" ht="16.5" customHeight="1">
      <c r="B17" s="379" t="s">
        <v>201</v>
      </c>
      <c r="C17" s="492">
        <v>4300000</v>
      </c>
      <c r="D17" s="382">
        <f>ROUND(+C17*$E$9,5)</f>
        <v>16163700</v>
      </c>
      <c r="E17" s="458"/>
      <c r="F17" s="458"/>
      <c r="P17" s="197"/>
    </row>
    <row r="18" spans="2:16" s="77" customFormat="1" ht="16.5" customHeight="1">
      <c r="B18" s="379" t="s">
        <v>209</v>
      </c>
      <c r="C18" s="492">
        <v>115128.17118</v>
      </c>
      <c r="D18" s="382">
        <f>ROUND(+C18*$E$9,5)</f>
        <v>432766.79547</v>
      </c>
      <c r="E18" s="458"/>
      <c r="F18" s="458"/>
      <c r="P18" s="197"/>
    </row>
    <row r="19" spans="2:16" s="77" customFormat="1" ht="16.5" customHeight="1">
      <c r="B19" s="379" t="s">
        <v>199</v>
      </c>
      <c r="C19" s="492">
        <v>34514.08784000001</v>
      </c>
      <c r="D19" s="382">
        <f>ROUND(+C19*$E$9,5)</f>
        <v>129738.45619</v>
      </c>
      <c r="E19" s="458"/>
      <c r="F19" s="458"/>
      <c r="P19" s="197"/>
    </row>
    <row r="20" spans="2:16" s="77" customFormat="1" ht="16.5" customHeight="1">
      <c r="B20" s="379" t="s">
        <v>169</v>
      </c>
      <c r="C20" s="492">
        <v>18029.94034</v>
      </c>
      <c r="D20" s="382">
        <f>ROUND(+C20*$E$9,5)</f>
        <v>67774.54574</v>
      </c>
      <c r="E20" s="458"/>
      <c r="F20" s="458"/>
      <c r="P20" s="197"/>
    </row>
    <row r="21" spans="2:16" s="77" customFormat="1" ht="16.5" customHeight="1">
      <c r="B21" s="379" t="s">
        <v>195</v>
      </c>
      <c r="C21" s="492">
        <v>14507.25322</v>
      </c>
      <c r="D21" s="382">
        <f>ROUND(+C21*$E$9,5)</f>
        <v>54532.76485</v>
      </c>
      <c r="E21" s="458"/>
      <c r="F21" s="458"/>
      <c r="P21" s="197"/>
    </row>
    <row r="22" spans="2:16" s="77" customFormat="1" ht="16.5" customHeight="1">
      <c r="B22" s="379" t="s">
        <v>168</v>
      </c>
      <c r="C22" s="492">
        <v>13056.058079999999</v>
      </c>
      <c r="D22" s="382">
        <f>ROUND(+C22*$E$9,5)</f>
        <v>49077.72232</v>
      </c>
      <c r="E22" s="458"/>
      <c r="F22" s="458"/>
      <c r="P22" s="197"/>
    </row>
    <row r="23" spans="2:16" s="77" customFormat="1" ht="16.5" customHeight="1">
      <c r="B23" s="379" t="s">
        <v>194</v>
      </c>
      <c r="C23" s="492">
        <v>11216.46473</v>
      </c>
      <c r="D23" s="382">
        <f>ROUND(+C23*$E$9,5)</f>
        <v>42162.69092</v>
      </c>
      <c r="E23" s="458"/>
      <c r="F23" s="458"/>
      <c r="P23" s="197"/>
    </row>
    <row r="24" spans="2:16" s="77" customFormat="1" ht="16.5" customHeight="1">
      <c r="B24" s="379" t="s">
        <v>208</v>
      </c>
      <c r="C24" s="492">
        <v>5054.507769999999</v>
      </c>
      <c r="D24" s="382">
        <f>ROUND(+C24*$E$9,5)</f>
        <v>18999.89471</v>
      </c>
      <c r="E24" s="458"/>
      <c r="F24" s="458"/>
      <c r="P24" s="197"/>
    </row>
    <row r="25" spans="2:16" s="77" customFormat="1" ht="16.5" customHeight="1">
      <c r="B25" s="379" t="s">
        <v>197</v>
      </c>
      <c r="C25" s="492">
        <v>4697.61972</v>
      </c>
      <c r="D25" s="382">
        <f>ROUND(+C25*$E$9,5)</f>
        <v>17658.35253</v>
      </c>
      <c r="E25" s="458"/>
      <c r="F25" s="458"/>
      <c r="P25" s="197"/>
    </row>
    <row r="26" spans="2:16" s="77" customFormat="1" ht="16.5" customHeight="1">
      <c r="B26" s="379" t="s">
        <v>198</v>
      </c>
      <c r="C26" s="492">
        <v>3200.4647400000003</v>
      </c>
      <c r="D26" s="382">
        <f>ROUND(+C26*$E$9,5)</f>
        <v>12030.54696</v>
      </c>
      <c r="E26" s="458"/>
      <c r="F26" s="458"/>
      <c r="P26" s="197"/>
    </row>
    <row r="27" spans="2:16" s="77" customFormat="1" ht="16.5" customHeight="1">
      <c r="B27" s="379" t="s">
        <v>200</v>
      </c>
      <c r="C27" s="492">
        <v>2276.55339</v>
      </c>
      <c r="D27" s="382">
        <f>ROUND(+C27*$E$9,5)</f>
        <v>8557.56419</v>
      </c>
      <c r="E27" s="458"/>
      <c r="F27" s="458"/>
      <c r="P27" s="197"/>
    </row>
    <row r="28" spans="2:16" s="77" customFormat="1" ht="16.5" customHeight="1">
      <c r="B28" s="379" t="s">
        <v>49</v>
      </c>
      <c r="C28" s="492">
        <v>1998.4348799999998</v>
      </c>
      <c r="D28" s="382">
        <f>ROUND(+C28*$E$9,5)</f>
        <v>7512.11671</v>
      </c>
      <c r="E28" s="458"/>
      <c r="F28" s="458"/>
      <c r="P28" s="197"/>
    </row>
    <row r="29" spans="2:16" s="77" customFormat="1" ht="16.5" customHeight="1">
      <c r="B29" s="379" t="s">
        <v>237</v>
      </c>
      <c r="C29" s="492">
        <v>1763.61566</v>
      </c>
      <c r="D29" s="382">
        <f>ROUND(+C29*$E$9,5)</f>
        <v>6629.43127</v>
      </c>
      <c r="E29" s="458"/>
      <c r="F29" s="458"/>
      <c r="P29" s="197"/>
    </row>
    <row r="30" spans="2:16" s="77" customFormat="1" ht="16.5" customHeight="1">
      <c r="B30" s="379" t="s">
        <v>196</v>
      </c>
      <c r="C30" s="492">
        <v>778.40109</v>
      </c>
      <c r="D30" s="382">
        <f>ROUND(+C30*$E$9,5)</f>
        <v>2926.0097</v>
      </c>
      <c r="E30" s="458"/>
      <c r="F30" s="458"/>
      <c r="P30" s="197"/>
    </row>
    <row r="31" spans="2:16" s="77" customFormat="1" ht="16.5" customHeight="1">
      <c r="B31" s="379" t="s">
        <v>254</v>
      </c>
      <c r="C31" s="492">
        <v>532.0564</v>
      </c>
      <c r="D31" s="382">
        <f>ROUND(+C31*$E$9,5)</f>
        <v>2000.00001</v>
      </c>
      <c r="E31" s="458"/>
      <c r="F31" s="458"/>
      <c r="P31" s="197"/>
    </row>
    <row r="32" spans="2:16" s="77" customFormat="1" ht="16.5" customHeight="1">
      <c r="B32" s="379" t="s">
        <v>232</v>
      </c>
      <c r="C32" s="492">
        <v>326.59121999999996</v>
      </c>
      <c r="D32" s="382">
        <f>ROUND(+C32*$E$9,5)</f>
        <v>1227.6564</v>
      </c>
      <c r="E32" s="458"/>
      <c r="F32" s="458"/>
      <c r="P32" s="197"/>
    </row>
    <row r="33" spans="2:16" s="77" customFormat="1" ht="16.5" customHeight="1">
      <c r="B33" s="379" t="s">
        <v>43</v>
      </c>
      <c r="C33" s="492">
        <v>9.963940000000001</v>
      </c>
      <c r="D33" s="382">
        <f>ROUND(+C33*$E$9,5)</f>
        <v>37.45445</v>
      </c>
      <c r="E33" s="458"/>
      <c r="F33" s="458"/>
      <c r="P33" s="197"/>
    </row>
    <row r="34" spans="2:16" s="77" customFormat="1" ht="12" customHeight="1">
      <c r="B34" s="300"/>
      <c r="C34" s="384"/>
      <c r="D34" s="384"/>
      <c r="E34" s="458"/>
      <c r="F34" s="458"/>
      <c r="P34" s="197"/>
    </row>
    <row r="35" spans="2:16" s="77" customFormat="1" ht="16.5" customHeight="1">
      <c r="B35" s="78" t="s">
        <v>25</v>
      </c>
      <c r="C35" s="381">
        <f>SUM(C36:C38)</f>
        <v>3799407.3428599993</v>
      </c>
      <c r="D35" s="381">
        <f>+SUM(D36:D38)</f>
        <v>14281972.20181</v>
      </c>
      <c r="E35" s="458"/>
      <c r="F35" s="458"/>
      <c r="P35" s="197"/>
    </row>
    <row r="36" spans="2:16" s="77" customFormat="1" ht="16.5" customHeight="1">
      <c r="B36" s="379" t="s">
        <v>210</v>
      </c>
      <c r="C36" s="492">
        <v>2166297.5364699992</v>
      </c>
      <c r="D36" s="382">
        <f>ROUND(+C36*$E$9,5)</f>
        <v>8143112.43959</v>
      </c>
      <c r="E36" s="458"/>
      <c r="F36" s="458"/>
      <c r="P36" s="197"/>
    </row>
    <row r="37" spans="2:16" s="77" customFormat="1" ht="16.5" customHeight="1">
      <c r="B37" s="380" t="s">
        <v>170</v>
      </c>
      <c r="C37" s="492">
        <v>1614867.87273</v>
      </c>
      <c r="D37" s="382">
        <f>ROUND(+C37*$E$9,5)</f>
        <v>6070288.33359</v>
      </c>
      <c r="E37" s="248"/>
      <c r="F37" s="387"/>
      <c r="P37" s="197"/>
    </row>
    <row r="38" spans="2:16" s="77" customFormat="1" ht="16.5" customHeight="1">
      <c r="B38" s="379" t="s">
        <v>124</v>
      </c>
      <c r="C38" s="492">
        <v>18241.933659999995</v>
      </c>
      <c r="D38" s="382">
        <f>ROUND(+C38*$E$9,5)</f>
        <v>68571.42863</v>
      </c>
      <c r="E38" s="248"/>
      <c r="F38" s="387"/>
      <c r="P38" s="197"/>
    </row>
    <row r="39" spans="2:16" s="77" customFormat="1" ht="15" customHeight="1">
      <c r="B39" s="300"/>
      <c r="C39" s="479"/>
      <c r="D39" s="479"/>
      <c r="E39" s="248"/>
      <c r="F39" s="387"/>
      <c r="P39" s="197"/>
    </row>
    <row r="40" spans="2:16" s="77" customFormat="1" ht="19.5" customHeight="1">
      <c r="B40" s="79" t="s">
        <v>203</v>
      </c>
      <c r="C40" s="506">
        <f>+C42+C54</f>
        <v>372030.83481</v>
      </c>
      <c r="D40" s="506">
        <f>+D42+D54</f>
        <v>1398463.90803</v>
      </c>
      <c r="E40" s="248"/>
      <c r="F40" s="387"/>
      <c r="P40" s="197"/>
    </row>
    <row r="41" spans="2:16" s="77" customFormat="1" ht="9.75" customHeight="1">
      <c r="B41" s="79"/>
      <c r="C41" s="506"/>
      <c r="D41" s="506"/>
      <c r="E41" s="248"/>
      <c r="F41" s="387"/>
      <c r="P41" s="197"/>
    </row>
    <row r="42" spans="2:16" s="77" customFormat="1" ht="16.5" customHeight="1">
      <c r="B42" s="78" t="s">
        <v>24</v>
      </c>
      <c r="C42" s="381">
        <f>SUM(C43:C52)</f>
        <v>343498.13229</v>
      </c>
      <c r="D42" s="381">
        <f>SUM(D43:D52)</f>
        <v>1291209.47926</v>
      </c>
      <c r="E42" s="248"/>
      <c r="F42" s="248"/>
      <c r="P42" s="197"/>
    </row>
    <row r="43" spans="2:16" s="77" customFormat="1" ht="16.5" customHeight="1">
      <c r="B43" s="379" t="s">
        <v>209</v>
      </c>
      <c r="C43" s="492">
        <v>329455.74426</v>
      </c>
      <c r="D43" s="382">
        <f>ROUND(+C43*$E$9,5)</f>
        <v>1238424.14267</v>
      </c>
      <c r="E43" s="248"/>
      <c r="F43" s="248"/>
      <c r="P43" s="197"/>
    </row>
    <row r="44" spans="2:16" s="77" customFormat="1" ht="16.5" customHeight="1">
      <c r="B44" s="344" t="s">
        <v>206</v>
      </c>
      <c r="C44" s="492">
        <v>3740.1266299999997</v>
      </c>
      <c r="D44" s="382">
        <f>ROUND(+C44*$E$9,5)</f>
        <v>14059.136</v>
      </c>
      <c r="E44" s="248"/>
      <c r="F44" s="248"/>
      <c r="P44" s="197"/>
    </row>
    <row r="45" spans="2:16" s="77" customFormat="1" ht="16.5" customHeight="1">
      <c r="B45" s="344" t="s">
        <v>69</v>
      </c>
      <c r="C45" s="492">
        <v>3390.71994</v>
      </c>
      <c r="D45" s="382">
        <f>ROUND(+C45*$E$9,5)</f>
        <v>12745.71625</v>
      </c>
      <c r="E45" s="248"/>
      <c r="F45" s="248"/>
      <c r="P45" s="197"/>
    </row>
    <row r="46" spans="2:16" s="77" customFormat="1" ht="16.5" customHeight="1">
      <c r="B46" s="344" t="s">
        <v>44</v>
      </c>
      <c r="C46" s="492">
        <v>2189.6165899999996</v>
      </c>
      <c r="D46" s="382">
        <f>ROUND(+C46*$E$9,5)</f>
        <v>8230.76876</v>
      </c>
      <c r="E46" s="248"/>
      <c r="F46" s="248"/>
      <c r="P46" s="197"/>
    </row>
    <row r="47" spans="2:16" s="77" customFormat="1" ht="16.5" customHeight="1">
      <c r="B47" s="344" t="s">
        <v>158</v>
      </c>
      <c r="C47" s="492">
        <v>1436.3223500000001</v>
      </c>
      <c r="D47" s="382">
        <f>ROUND(+C47*$E$9,5)</f>
        <v>5399.13571</v>
      </c>
      <c r="E47" s="248"/>
      <c r="F47" s="248"/>
      <c r="P47" s="197"/>
    </row>
    <row r="48" spans="2:16" s="77" customFormat="1" ht="16.5" customHeight="1">
      <c r="B48" s="344" t="s">
        <v>51</v>
      </c>
      <c r="C48" s="492">
        <v>1361.36375</v>
      </c>
      <c r="D48" s="382">
        <f>ROUND(+C48*$E$9,5)</f>
        <v>5117.36634</v>
      </c>
      <c r="E48" s="248"/>
      <c r="F48" s="248"/>
      <c r="P48" s="197"/>
    </row>
    <row r="49" spans="2:16" s="77" customFormat="1" ht="16.5" customHeight="1">
      <c r="B49" s="344" t="s">
        <v>42</v>
      </c>
      <c r="C49" s="492">
        <v>910.0138800000001</v>
      </c>
      <c r="D49" s="382">
        <f>ROUND(+C49*$E$9,5)</f>
        <v>3420.74217</v>
      </c>
      <c r="E49" s="248"/>
      <c r="F49" s="248"/>
      <c r="P49" s="197"/>
    </row>
    <row r="50" spans="2:16" s="77" customFormat="1" ht="16.5" customHeight="1">
      <c r="B50" s="344" t="s">
        <v>207</v>
      </c>
      <c r="C50" s="492">
        <v>511.76682</v>
      </c>
      <c r="D50" s="382">
        <f>ROUND(+C50*$E$9,5)</f>
        <v>1923.73148</v>
      </c>
      <c r="E50" s="248"/>
      <c r="F50" s="248"/>
      <c r="P50" s="197"/>
    </row>
    <row r="51" spans="2:16" s="77" customFormat="1" ht="16.5" customHeight="1">
      <c r="B51" s="344" t="s">
        <v>228</v>
      </c>
      <c r="C51" s="492">
        <v>433.18222</v>
      </c>
      <c r="D51" s="382">
        <f>ROUND(+C51*$E$9,5)</f>
        <v>1628.33196</v>
      </c>
      <c r="E51" s="248"/>
      <c r="F51" s="248"/>
      <c r="P51" s="197"/>
    </row>
    <row r="52" spans="2:16" s="77" customFormat="1" ht="16.5" customHeight="1">
      <c r="B52" s="344" t="s">
        <v>208</v>
      </c>
      <c r="C52" s="492">
        <v>69.27585</v>
      </c>
      <c r="D52" s="382">
        <f>ROUND(+C52*$E$9,5)</f>
        <v>260.40792</v>
      </c>
      <c r="E52" s="248"/>
      <c r="F52" s="248"/>
      <c r="P52" s="197"/>
    </row>
    <row r="53" spans="2:16" s="77" customFormat="1" ht="12" customHeight="1">
      <c r="B53" s="388"/>
      <c r="C53" s="384"/>
      <c r="D53" s="384"/>
      <c r="E53" s="248"/>
      <c r="F53" s="248"/>
      <c r="G53" s="446"/>
      <c r="P53" s="197"/>
    </row>
    <row r="54" spans="2:16" s="77" customFormat="1" ht="16.5" customHeight="1">
      <c r="B54" s="78" t="s">
        <v>25</v>
      </c>
      <c r="C54" s="381">
        <f>+C55</f>
        <v>28532.70252</v>
      </c>
      <c r="D54" s="381">
        <f>+D55</f>
        <v>107254.42877</v>
      </c>
      <c r="E54" s="248"/>
      <c r="F54" s="445"/>
      <c r="P54" s="197"/>
    </row>
    <row r="55" spans="2:16" s="77" customFormat="1" ht="16.5" customHeight="1">
      <c r="B55" s="344" t="s">
        <v>210</v>
      </c>
      <c r="C55" s="492">
        <v>28532.70252</v>
      </c>
      <c r="D55" s="382">
        <f>ROUND(+C55*$E$9,5)</f>
        <v>107254.42877</v>
      </c>
      <c r="E55" s="248"/>
      <c r="F55" s="387"/>
      <c r="P55" s="197"/>
    </row>
    <row r="56" spans="2:16" s="77" customFormat="1" ht="9.75" customHeight="1">
      <c r="B56" s="76"/>
      <c r="C56" s="389"/>
      <c r="D56" s="389"/>
      <c r="E56" s="248"/>
      <c r="F56" s="387"/>
      <c r="P56" s="197"/>
    </row>
    <row r="57" spans="2:16" s="77" customFormat="1" ht="18" customHeight="1" hidden="1">
      <c r="B57" s="150"/>
      <c r="C57" s="382"/>
      <c r="D57" s="382"/>
      <c r="E57" s="248"/>
      <c r="F57" s="387"/>
      <c r="P57" s="197"/>
    </row>
    <row r="58" spans="2:16" s="77" customFormat="1" ht="21.75" customHeight="1" hidden="1">
      <c r="B58" s="79" t="s">
        <v>112</v>
      </c>
      <c r="C58" s="506">
        <f>+C59</f>
        <v>0</v>
      </c>
      <c r="D58" s="506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76" t="s">
        <v>66</v>
      </c>
      <c r="C59" s="389">
        <f>+C60</f>
        <v>0</v>
      </c>
      <c r="D59" s="389">
        <f>+D60</f>
        <v>0</v>
      </c>
      <c r="E59" s="248"/>
      <c r="F59" s="387"/>
      <c r="H59" s="301"/>
      <c r="P59" s="197"/>
    </row>
    <row r="60" spans="2:16" s="77" customFormat="1" ht="21.75" customHeight="1" hidden="1">
      <c r="B60" s="299" t="s">
        <v>109</v>
      </c>
      <c r="C60" s="384">
        <v>0</v>
      </c>
      <c r="D60" s="384">
        <f>+C60*$E$9</f>
        <v>0</v>
      </c>
      <c r="E60" s="248"/>
      <c r="F60" s="387"/>
      <c r="H60" s="301"/>
      <c r="P60" s="197"/>
    </row>
    <row r="61" spans="2:16" s="77" customFormat="1" ht="19.5" customHeight="1" hidden="1">
      <c r="B61" s="150"/>
      <c r="C61" s="382"/>
      <c r="D61" s="382"/>
      <c r="E61" s="248"/>
      <c r="F61" s="387"/>
      <c r="P61" s="197"/>
    </row>
    <row r="62" spans="2:16" s="77" customFormat="1" ht="21.75" customHeight="1" hidden="1">
      <c r="B62" s="79" t="s">
        <v>138</v>
      </c>
      <c r="C62" s="506">
        <f>+C63+C87</f>
        <v>0</v>
      </c>
      <c r="D62" s="506">
        <f>+D63+D87</f>
        <v>0</v>
      </c>
      <c r="E62" s="248"/>
      <c r="F62" s="387"/>
      <c r="P62" s="197"/>
    </row>
    <row r="63" spans="2:16" s="77" customFormat="1" ht="21.75" customHeight="1" hidden="1">
      <c r="B63" s="78" t="s">
        <v>24</v>
      </c>
      <c r="C63" s="381">
        <f>SUM(C64:C85)</f>
        <v>0</v>
      </c>
      <c r="D63" s="381">
        <f>SUM(D64:D85)</f>
        <v>0</v>
      </c>
      <c r="E63" s="248"/>
      <c r="F63" s="387"/>
      <c r="P63" s="197"/>
    </row>
    <row r="64" spans="2:16" s="77" customFormat="1" ht="21.75" customHeight="1" hidden="1">
      <c r="B64" s="299" t="s">
        <v>108</v>
      </c>
      <c r="C64" s="384"/>
      <c r="D64" s="384">
        <f aca="true" t="shared" si="0" ref="D64:D85">+C64*$E$9</f>
        <v>0</v>
      </c>
      <c r="E64" s="248"/>
      <c r="F64" s="387"/>
      <c r="P64" s="197"/>
    </row>
    <row r="65" spans="2:16" s="77" customFormat="1" ht="21.75" customHeight="1" hidden="1">
      <c r="B65" s="299" t="s">
        <v>38</v>
      </c>
      <c r="C65" s="384"/>
      <c r="D65" s="384">
        <f t="shared" si="0"/>
        <v>0</v>
      </c>
      <c r="E65" s="248"/>
      <c r="F65" s="387"/>
      <c r="P65" s="197"/>
    </row>
    <row r="66" spans="2:16" s="77" customFormat="1" ht="21.75" customHeight="1" hidden="1">
      <c r="B66" s="299" t="s">
        <v>39</v>
      </c>
      <c r="C66" s="384"/>
      <c r="D66" s="384">
        <f t="shared" si="0"/>
        <v>0</v>
      </c>
      <c r="E66" s="248"/>
      <c r="F66" s="387"/>
      <c r="P66" s="197"/>
    </row>
    <row r="67" spans="2:16" s="77" customFormat="1" ht="21.75" customHeight="1" hidden="1">
      <c r="B67" s="299" t="s">
        <v>41</v>
      </c>
      <c r="C67" s="384"/>
      <c r="D67" s="384">
        <f t="shared" si="0"/>
        <v>0</v>
      </c>
      <c r="E67" s="248"/>
      <c r="F67" s="387"/>
      <c r="P67" s="197"/>
    </row>
    <row r="68" spans="2:16" s="77" customFormat="1" ht="21.75" customHeight="1" hidden="1">
      <c r="B68" s="299" t="s">
        <v>145</v>
      </c>
      <c r="C68" s="384"/>
      <c r="D68" s="384">
        <f t="shared" si="0"/>
        <v>0</v>
      </c>
      <c r="E68" s="248"/>
      <c r="F68" s="387"/>
      <c r="P68" s="197"/>
    </row>
    <row r="69" spans="2:16" s="77" customFormat="1" ht="21.75" customHeight="1" hidden="1">
      <c r="B69" s="299" t="s">
        <v>40</v>
      </c>
      <c r="C69" s="384"/>
      <c r="D69" s="384">
        <f t="shared" si="0"/>
        <v>0</v>
      </c>
      <c r="E69" s="248"/>
      <c r="F69" s="387"/>
      <c r="P69" s="197"/>
    </row>
    <row r="70" spans="2:16" s="77" customFormat="1" ht="21.75" customHeight="1" hidden="1">
      <c r="B70" s="299" t="s">
        <v>45</v>
      </c>
      <c r="C70" s="384"/>
      <c r="D70" s="384">
        <f t="shared" si="0"/>
        <v>0</v>
      </c>
      <c r="E70" s="248"/>
      <c r="F70" s="387"/>
      <c r="P70" s="197"/>
    </row>
    <row r="71" spans="2:16" s="77" customFormat="1" ht="21.75" customHeight="1" hidden="1">
      <c r="B71" s="299" t="s">
        <v>69</v>
      </c>
      <c r="C71" s="384"/>
      <c r="D71" s="384">
        <f t="shared" si="0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0"/>
        <v>0</v>
      </c>
      <c r="E72" s="248"/>
      <c r="F72" s="387"/>
      <c r="P72" s="197"/>
    </row>
    <row r="73" spans="2:16" s="77" customFormat="1" ht="21.75" customHeight="1" hidden="1">
      <c r="B73" s="299" t="s">
        <v>42</v>
      </c>
      <c r="C73" s="384"/>
      <c r="D73" s="384">
        <f t="shared" si="0"/>
        <v>0</v>
      </c>
      <c r="E73" s="248"/>
      <c r="F73" s="387"/>
      <c r="P73" s="197"/>
    </row>
    <row r="74" spans="2:16" s="77" customFormat="1" ht="21.75" customHeight="1" hidden="1">
      <c r="B74" s="299" t="s">
        <v>44</v>
      </c>
      <c r="C74" s="384"/>
      <c r="D74" s="384">
        <f t="shared" si="0"/>
        <v>0</v>
      </c>
      <c r="E74" s="248"/>
      <c r="F74" s="387"/>
      <c r="P74" s="197"/>
    </row>
    <row r="75" spans="2:16" s="77" customFormat="1" ht="21.75" customHeight="1" hidden="1">
      <c r="B75" s="299" t="s">
        <v>48</v>
      </c>
      <c r="C75" s="384"/>
      <c r="D75" s="384">
        <f t="shared" si="0"/>
        <v>0</v>
      </c>
      <c r="E75" s="248"/>
      <c r="F75" s="387"/>
      <c r="P75" s="197"/>
    </row>
    <row r="76" spans="2:16" s="77" customFormat="1" ht="21.75" customHeight="1" hidden="1">
      <c r="B76" s="299" t="s">
        <v>51</v>
      </c>
      <c r="C76" s="384"/>
      <c r="D76" s="384">
        <f t="shared" si="0"/>
        <v>0</v>
      </c>
      <c r="E76" s="248"/>
      <c r="F76" s="387"/>
      <c r="P76" s="197"/>
    </row>
    <row r="77" spans="2:16" s="77" customFormat="1" ht="21.75" customHeight="1" hidden="1">
      <c r="B77" s="299" t="s">
        <v>158</v>
      </c>
      <c r="C77" s="384"/>
      <c r="D77" s="384">
        <f t="shared" si="0"/>
        <v>0</v>
      </c>
      <c r="E77" s="248"/>
      <c r="F77" s="387"/>
      <c r="P77" s="197"/>
    </row>
    <row r="78" spans="2:16" s="77" customFormat="1" ht="21.75" customHeight="1" hidden="1">
      <c r="B78" s="299" t="s">
        <v>53</v>
      </c>
      <c r="C78" s="384"/>
      <c r="D78" s="384">
        <f t="shared" si="0"/>
        <v>0</v>
      </c>
      <c r="E78" s="248"/>
      <c r="F78" s="387"/>
      <c r="P78" s="197"/>
    </row>
    <row r="79" spans="2:16" s="77" customFormat="1" ht="21.75" customHeight="1" hidden="1">
      <c r="B79" s="299" t="s">
        <v>55</v>
      </c>
      <c r="C79" s="384"/>
      <c r="D79" s="384">
        <f t="shared" si="0"/>
        <v>0</v>
      </c>
      <c r="E79" s="248"/>
      <c r="F79" s="387"/>
      <c r="P79" s="197"/>
    </row>
    <row r="80" spans="2:16" s="77" customFormat="1" ht="21.75" customHeight="1" hidden="1">
      <c r="B80" s="299" t="s">
        <v>46</v>
      </c>
      <c r="C80" s="384"/>
      <c r="D80" s="384">
        <f t="shared" si="0"/>
        <v>0</v>
      </c>
      <c r="E80" s="248"/>
      <c r="F80" s="387"/>
      <c r="P80" s="197"/>
    </row>
    <row r="81" spans="2:16" s="77" customFormat="1" ht="21.75" customHeight="1" hidden="1">
      <c r="B81" s="299" t="s">
        <v>50</v>
      </c>
      <c r="C81" s="384"/>
      <c r="D81" s="384">
        <f t="shared" si="0"/>
        <v>0</v>
      </c>
      <c r="E81" s="248"/>
      <c r="F81" s="387"/>
      <c r="P81" s="197"/>
    </row>
    <row r="82" spans="2:16" s="77" customFormat="1" ht="21.75" customHeight="1" hidden="1">
      <c r="B82" s="299" t="s">
        <v>57</v>
      </c>
      <c r="C82" s="384"/>
      <c r="D82" s="384">
        <f t="shared" si="0"/>
        <v>0</v>
      </c>
      <c r="E82" s="248"/>
      <c r="F82" s="387"/>
      <c r="P82" s="197"/>
    </row>
    <row r="83" spans="2:16" s="77" customFormat="1" ht="21.75" customHeight="1" hidden="1">
      <c r="B83" s="299" t="s">
        <v>52</v>
      </c>
      <c r="C83" s="384"/>
      <c r="D83" s="384">
        <f t="shared" si="0"/>
        <v>0</v>
      </c>
      <c r="E83" s="248"/>
      <c r="F83" s="387"/>
      <c r="P83" s="197"/>
    </row>
    <row r="84" spans="2:16" s="77" customFormat="1" ht="21.75" customHeight="1" hidden="1">
      <c r="B84" s="299" t="s">
        <v>54</v>
      </c>
      <c r="C84" s="384"/>
      <c r="D84" s="384">
        <f t="shared" si="0"/>
        <v>0</v>
      </c>
      <c r="E84" s="248"/>
      <c r="F84" s="387"/>
      <c r="P84" s="197"/>
    </row>
    <row r="85" spans="2:16" s="77" customFormat="1" ht="21.75" customHeight="1" hidden="1">
      <c r="B85" s="299" t="s">
        <v>56</v>
      </c>
      <c r="C85" s="384"/>
      <c r="D85" s="384">
        <f t="shared" si="0"/>
        <v>0</v>
      </c>
      <c r="E85" s="248"/>
      <c r="F85" s="387"/>
      <c r="P85" s="197"/>
    </row>
    <row r="86" spans="2:16" s="77" customFormat="1" ht="9.75" customHeight="1" hidden="1">
      <c r="B86" s="76"/>
      <c r="C86" s="389"/>
      <c r="D86" s="389"/>
      <c r="E86" s="248"/>
      <c r="F86" s="387"/>
      <c r="P86" s="197"/>
    </row>
    <row r="87" spans="2:16" s="77" customFormat="1" ht="21.75" customHeight="1" hidden="1">
      <c r="B87" s="78" t="s">
        <v>25</v>
      </c>
      <c r="C87" s="381">
        <f>+C88</f>
        <v>0</v>
      </c>
      <c r="D87" s="381">
        <f>+D88</f>
        <v>0</v>
      </c>
      <c r="E87" s="248"/>
      <c r="F87" s="387"/>
      <c r="P87" s="197"/>
    </row>
    <row r="88" spans="2:16" s="77" customFormat="1" ht="21.75" customHeight="1" hidden="1">
      <c r="B88" s="299" t="s">
        <v>107</v>
      </c>
      <c r="C88" s="384"/>
      <c r="D88" s="384">
        <f>+C88*$E$9</f>
        <v>0</v>
      </c>
      <c r="E88" s="248"/>
      <c r="F88" s="387"/>
      <c r="P88" s="197"/>
    </row>
    <row r="89" spans="2:16" s="77" customFormat="1" ht="4.5" customHeight="1">
      <c r="B89" s="150"/>
      <c r="C89" s="382"/>
      <c r="D89" s="382"/>
      <c r="E89" s="248"/>
      <c r="F89" s="387"/>
      <c r="P89" s="197"/>
    </row>
    <row r="90" spans="2:16" s="77" customFormat="1" ht="15" customHeight="1">
      <c r="B90" s="643" t="s">
        <v>28</v>
      </c>
      <c r="C90" s="600">
        <f>C14+C40</f>
        <v>8698528.361869998</v>
      </c>
      <c r="D90" s="600">
        <f>+D14+D40</f>
        <v>32697768.112259995</v>
      </c>
      <c r="E90" s="248"/>
      <c r="F90" s="387"/>
      <c r="P90" s="197"/>
    </row>
    <row r="91" spans="2:16" s="111" customFormat="1" ht="15" customHeight="1">
      <c r="B91" s="644"/>
      <c r="C91" s="601"/>
      <c r="D91" s="601"/>
      <c r="E91" s="248"/>
      <c r="F91" s="387"/>
      <c r="G91" s="77"/>
      <c r="P91" s="198"/>
    </row>
    <row r="92" spans="2:16" s="77" customFormat="1" ht="7.5" customHeight="1">
      <c r="B92" s="151"/>
      <c r="C92" s="101"/>
      <c r="D92" s="101"/>
      <c r="E92" s="248"/>
      <c r="F92" s="387"/>
      <c r="P92" s="197"/>
    </row>
    <row r="93" spans="1:16" ht="14.25" customHeight="1">
      <c r="A93" s="302"/>
      <c r="B93" s="303" t="s">
        <v>204</v>
      </c>
      <c r="C93" s="314"/>
      <c r="D93" s="304"/>
      <c r="E93" s="248"/>
      <c r="F93" s="387"/>
      <c r="G93" s="77"/>
      <c r="P93" s="196"/>
    </row>
    <row r="94" spans="1:16" ht="14.25" customHeight="1">
      <c r="A94" s="302"/>
      <c r="B94" s="303" t="s">
        <v>205</v>
      </c>
      <c r="C94" s="305"/>
      <c r="D94" s="306"/>
      <c r="E94" s="248"/>
      <c r="F94" s="387"/>
      <c r="G94" s="77"/>
      <c r="P94" s="196"/>
    </row>
    <row r="95" spans="3:16" ht="14.25">
      <c r="C95" s="307"/>
      <c r="D95" s="308"/>
      <c r="E95" s="248"/>
      <c r="F95" s="387"/>
      <c r="G95" s="77"/>
      <c r="P95" s="196"/>
    </row>
    <row r="96" spans="3:16" ht="14.25">
      <c r="C96" s="310"/>
      <c r="D96" s="310"/>
      <c r="E96" s="248"/>
      <c r="F96" s="387"/>
      <c r="G96" s="311"/>
      <c r="H96" s="311"/>
      <c r="P96" s="196"/>
    </row>
    <row r="97" spans="3:16" ht="12.75">
      <c r="C97" s="312"/>
      <c r="D97" s="312"/>
      <c r="G97" s="311"/>
      <c r="H97" s="311"/>
      <c r="P97" s="196"/>
    </row>
    <row r="98" spans="3:16" ht="12.75">
      <c r="C98" s="313"/>
      <c r="D98" s="313"/>
      <c r="H98" s="309"/>
      <c r="P98" s="196"/>
    </row>
    <row r="99" spans="2:16" ht="18">
      <c r="B99" s="373" t="s">
        <v>122</v>
      </c>
      <c r="C99" s="373"/>
      <c r="D99" s="373"/>
      <c r="H99" s="309"/>
      <c r="P99" s="196"/>
    </row>
    <row r="100" spans="2:16" ht="18">
      <c r="B100" s="374" t="s">
        <v>136</v>
      </c>
      <c r="C100" s="374"/>
      <c r="D100" s="374"/>
      <c r="G100" s="311"/>
      <c r="P100" s="196"/>
    </row>
    <row r="101" spans="2:16" ht="18">
      <c r="B101" s="374" t="s">
        <v>137</v>
      </c>
      <c r="C101" s="374"/>
      <c r="D101" s="374"/>
      <c r="P101" s="196"/>
    </row>
    <row r="102" spans="2:16" ht="16.5">
      <c r="B102" s="378" t="s">
        <v>59</v>
      </c>
      <c r="C102" s="375"/>
      <c r="D102" s="375"/>
      <c r="P102" s="196"/>
    </row>
    <row r="103" spans="2:16" ht="15.75">
      <c r="B103" s="376" t="str">
        <f>+B9</f>
        <v>Al 28 de febrero de 2022</v>
      </c>
      <c r="C103" s="376"/>
      <c r="D103" s="297"/>
      <c r="P103" s="196"/>
    </row>
    <row r="104" spans="2:16" s="77" customFormat="1" ht="6.75" customHeight="1">
      <c r="B104" s="546"/>
      <c r="C104" s="546"/>
      <c r="D104" s="546"/>
      <c r="E104" s="212"/>
      <c r="P104" s="197"/>
    </row>
    <row r="105" spans="2:16" ht="16.5" customHeight="1">
      <c r="B105" s="557" t="s">
        <v>97</v>
      </c>
      <c r="C105" s="639" t="s">
        <v>87</v>
      </c>
      <c r="D105" s="641" t="s">
        <v>164</v>
      </c>
      <c r="P105" s="196"/>
    </row>
    <row r="106" spans="2:16" s="111" customFormat="1" ht="16.5" customHeight="1">
      <c r="B106" s="558"/>
      <c r="C106" s="640"/>
      <c r="D106" s="642"/>
      <c r="E106" s="213"/>
      <c r="G106" s="315"/>
      <c r="P106" s="198"/>
    </row>
    <row r="107" spans="2:16" s="111" customFormat="1" ht="9.75" customHeight="1">
      <c r="B107" s="149"/>
      <c r="C107" s="100"/>
      <c r="D107" s="112"/>
      <c r="E107" s="213"/>
      <c r="G107" s="315"/>
      <c r="P107" s="198"/>
    </row>
    <row r="108" spans="2:16" s="77" customFormat="1" ht="19.5" customHeight="1">
      <c r="B108" s="79" t="s">
        <v>202</v>
      </c>
      <c r="C108" s="506">
        <f>+C110+C113</f>
        <v>595673.8713600001</v>
      </c>
      <c r="D108" s="506">
        <f>+D110+D113</f>
        <v>2239138.08243</v>
      </c>
      <c r="E108" s="212"/>
      <c r="G108" s="301"/>
      <c r="H108" s="301"/>
      <c r="P108" s="197"/>
    </row>
    <row r="109" spans="2:16" s="77" customFormat="1" ht="9.75" customHeight="1">
      <c r="B109" s="79"/>
      <c r="C109" s="506"/>
      <c r="D109" s="506"/>
      <c r="E109" s="212"/>
      <c r="G109" s="301"/>
      <c r="H109" s="301"/>
      <c r="P109" s="197"/>
    </row>
    <row r="110" spans="2:16" s="77" customFormat="1" ht="16.5" customHeight="1">
      <c r="B110" s="78" t="s">
        <v>25</v>
      </c>
      <c r="C110" s="381">
        <f>SUM(C111:C111)</f>
        <v>0</v>
      </c>
      <c r="D110" s="381">
        <f>SUM(D111:D111)</f>
        <v>0</v>
      </c>
      <c r="E110" s="212"/>
      <c r="G110" s="301"/>
      <c r="H110" s="301"/>
      <c r="P110" s="197"/>
    </row>
    <row r="111" spans="2:16" s="77" customFormat="1" ht="16.5" customHeight="1" hidden="1">
      <c r="B111" s="431"/>
      <c r="C111" s="492">
        <v>0</v>
      </c>
      <c r="D111" s="382">
        <f>ROUND(+C111*$E$9,5)</f>
        <v>0</v>
      </c>
      <c r="E111" s="212"/>
      <c r="G111" s="301"/>
      <c r="H111" s="301"/>
      <c r="P111" s="197"/>
    </row>
    <row r="112" spans="2:16" s="77" customFormat="1" ht="12" customHeight="1">
      <c r="B112" s="79"/>
      <c r="C112" s="506"/>
      <c r="D112" s="506"/>
      <c r="E112" s="212"/>
      <c r="G112" s="301"/>
      <c r="H112" s="301"/>
      <c r="P112" s="197"/>
    </row>
    <row r="113" spans="2:16" s="77" customFormat="1" ht="16.5" customHeight="1">
      <c r="B113" s="78" t="s">
        <v>24</v>
      </c>
      <c r="C113" s="381">
        <f>SUM(C114:C123)</f>
        <v>595673.8713600001</v>
      </c>
      <c r="D113" s="381">
        <f>SUM(D114:D123)</f>
        <v>2239138.08243</v>
      </c>
      <c r="E113" s="212"/>
      <c r="F113" s="212"/>
      <c r="G113" s="316"/>
      <c r="H113" s="316"/>
      <c r="P113" s="197"/>
    </row>
    <row r="114" spans="2:16" s="77" customFormat="1" ht="16.5" customHeight="1">
      <c r="B114" s="511" t="s">
        <v>252</v>
      </c>
      <c r="C114" s="492">
        <v>437848.26057</v>
      </c>
      <c r="D114" s="382">
        <f>ROUND(+C114*$E$9,5)</f>
        <v>1645871.61148</v>
      </c>
      <c r="E114" s="212"/>
      <c r="F114" s="212"/>
      <c r="G114" s="316"/>
      <c r="H114" s="316"/>
      <c r="P114" s="197"/>
    </row>
    <row r="115" spans="2:16" s="77" customFormat="1" ht="16.5" customHeight="1">
      <c r="B115" s="511" t="s">
        <v>242</v>
      </c>
      <c r="C115" s="492">
        <v>68621.98708000004</v>
      </c>
      <c r="D115" s="382">
        <f>ROUND(+C115*$E$9,5)</f>
        <v>257950.04943</v>
      </c>
      <c r="E115" s="212"/>
      <c r="F115" s="212"/>
      <c r="G115" s="316"/>
      <c r="P115" s="197"/>
    </row>
    <row r="116" spans="2:16" s="77" customFormat="1" ht="16.5" customHeight="1">
      <c r="B116" s="511" t="s">
        <v>241</v>
      </c>
      <c r="C116" s="492">
        <v>23410.481490000006</v>
      </c>
      <c r="D116" s="382">
        <f>ROUND(+C116*$E$9,5)</f>
        <v>87999.99992</v>
      </c>
      <c r="E116" s="212"/>
      <c r="F116" s="212"/>
      <c r="G116" s="316"/>
      <c r="P116" s="197"/>
    </row>
    <row r="117" spans="2:16" s="77" customFormat="1" ht="16.5" customHeight="1">
      <c r="B117" s="379" t="s">
        <v>168</v>
      </c>
      <c r="C117" s="492">
        <v>16600.159620000002</v>
      </c>
      <c r="D117" s="382">
        <f>ROUND(+C117*$E$9,5)</f>
        <v>62400.00001</v>
      </c>
      <c r="E117" s="212"/>
      <c r="F117" s="212"/>
      <c r="G117" s="316"/>
      <c r="P117" s="197"/>
    </row>
    <row r="118" spans="2:16" s="77" customFormat="1" ht="16.5" customHeight="1">
      <c r="B118" s="511" t="s">
        <v>244</v>
      </c>
      <c r="C118" s="492">
        <v>15429.635530000001</v>
      </c>
      <c r="D118" s="382">
        <f>ROUND(+C118*$E$9,5)</f>
        <v>57999.99996</v>
      </c>
      <c r="E118" s="212"/>
      <c r="F118" s="212"/>
      <c r="G118" s="316"/>
      <c r="P118" s="197"/>
    </row>
    <row r="119" spans="2:16" s="77" customFormat="1" ht="16.5" customHeight="1">
      <c r="B119" s="511" t="s">
        <v>245</v>
      </c>
      <c r="C119" s="492">
        <v>10641.127960000002</v>
      </c>
      <c r="D119" s="382">
        <f>ROUND(+C119*$E$9,5)</f>
        <v>40000</v>
      </c>
      <c r="E119" s="212"/>
      <c r="F119" s="212"/>
      <c r="G119" s="316"/>
      <c r="P119" s="197"/>
    </row>
    <row r="120" spans="2:16" s="77" customFormat="1" ht="16.5" customHeight="1">
      <c r="B120" s="511" t="s">
        <v>243</v>
      </c>
      <c r="C120" s="492">
        <v>10485.474049999999</v>
      </c>
      <c r="D120" s="382">
        <f>ROUND(+C120*$E$9,5)</f>
        <v>39414.89695</v>
      </c>
      <c r="E120" s="212"/>
      <c r="F120" s="212"/>
      <c r="G120" s="316"/>
      <c r="P120" s="197"/>
    </row>
    <row r="121" spans="2:16" s="77" customFormat="1" ht="16.5" customHeight="1">
      <c r="B121" s="511" t="s">
        <v>246</v>
      </c>
      <c r="C121" s="492">
        <v>5986.0400899999995</v>
      </c>
      <c r="D121" s="382">
        <f>ROUND(+C121*$E$9,5)</f>
        <v>22501.5247</v>
      </c>
      <c r="E121" s="212"/>
      <c r="F121" s="212"/>
      <c r="G121" s="316"/>
      <c r="P121" s="197"/>
    </row>
    <row r="122" spans="2:16" s="77" customFormat="1" ht="16.5" customHeight="1">
      <c r="B122" s="511" t="s">
        <v>247</v>
      </c>
      <c r="C122" s="492">
        <v>3990.42298</v>
      </c>
      <c r="D122" s="382">
        <f>ROUND(+C122*$E$9,5)</f>
        <v>14999.99998</v>
      </c>
      <c r="E122" s="212"/>
      <c r="F122" s="212"/>
      <c r="G122" s="316"/>
      <c r="P122" s="197"/>
    </row>
    <row r="123" spans="2:16" s="77" customFormat="1" ht="16.5" customHeight="1">
      <c r="B123" s="520" t="s">
        <v>251</v>
      </c>
      <c r="C123" s="492">
        <v>2660.2819900000004</v>
      </c>
      <c r="D123" s="382">
        <f>ROUND(+C123*$E$9,5)</f>
        <v>10000</v>
      </c>
      <c r="E123" s="212"/>
      <c r="F123" s="212"/>
      <c r="G123" s="316"/>
      <c r="P123" s="197"/>
    </row>
    <row r="124" spans="2:16" s="77" customFormat="1" ht="9.75" customHeight="1">
      <c r="B124" s="150"/>
      <c r="C124" s="382"/>
      <c r="D124" s="382"/>
      <c r="E124" s="212"/>
      <c r="F124" s="212"/>
      <c r="G124" s="316"/>
      <c r="P124" s="197"/>
    </row>
    <row r="125" spans="2:16" s="77" customFormat="1" ht="15" customHeight="1">
      <c r="B125" s="643" t="s">
        <v>28</v>
      </c>
      <c r="C125" s="600">
        <f>+C108</f>
        <v>595673.8713600001</v>
      </c>
      <c r="D125" s="600">
        <f>+D108</f>
        <v>2239138.08243</v>
      </c>
      <c r="E125" s="212"/>
      <c r="F125" s="212"/>
      <c r="G125" s="316"/>
      <c r="P125" s="197"/>
    </row>
    <row r="126" spans="2:16" s="111" customFormat="1" ht="15" customHeight="1">
      <c r="B126" s="644"/>
      <c r="C126" s="601"/>
      <c r="D126" s="601"/>
      <c r="E126" s="212"/>
      <c r="F126" s="446"/>
      <c r="G126" s="316"/>
      <c r="P126" s="198"/>
    </row>
    <row r="127" spans="2:16" s="77" customFormat="1" ht="7.5" customHeight="1">
      <c r="B127" s="151"/>
      <c r="C127" s="101"/>
      <c r="D127" s="101"/>
      <c r="E127" s="212"/>
      <c r="F127" s="446"/>
      <c r="P127" s="197"/>
    </row>
    <row r="128" spans="1:16" ht="14.25" customHeight="1">
      <c r="A128" s="302"/>
      <c r="B128" s="303" t="s">
        <v>204</v>
      </c>
      <c r="C128" s="390"/>
      <c r="D128" s="390"/>
      <c r="P128" s="196"/>
    </row>
    <row r="129" spans="3:16" ht="12.75">
      <c r="C129" s="314"/>
      <c r="D129" s="314"/>
      <c r="P129" s="196"/>
    </row>
  </sheetData>
  <sheetProtection/>
  <mergeCells count="14">
    <mergeCell ref="B10:D10"/>
    <mergeCell ref="B104:D104"/>
    <mergeCell ref="B11:B12"/>
    <mergeCell ref="C11:C12"/>
    <mergeCell ref="D11:D12"/>
    <mergeCell ref="B90:B91"/>
    <mergeCell ref="C90:C91"/>
    <mergeCell ref="D90:D91"/>
    <mergeCell ref="B105:B106"/>
    <mergeCell ref="C105:C106"/>
    <mergeCell ref="D105:D106"/>
    <mergeCell ref="B125:B126"/>
    <mergeCell ref="C125:C126"/>
    <mergeCell ref="D125:D126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32" t="s">
        <v>18</v>
      </c>
      <c r="C6" s="532"/>
      <c r="D6" s="532"/>
      <c r="E6" s="532"/>
      <c r="F6" s="532"/>
      <c r="G6" s="532"/>
    </row>
    <row r="7" spans="2:7" s="4" customFormat="1" ht="15.75">
      <c r="B7" s="533" t="str">
        <f>+Indice!B7</f>
        <v>AL 28 DE FEBRERO 2022</v>
      </c>
      <c r="C7" s="533"/>
      <c r="D7" s="533"/>
      <c r="E7" s="533"/>
      <c r="F7" s="533"/>
      <c r="G7" s="533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5" t="s">
        <v>143</v>
      </c>
      <c r="E9" s="535"/>
      <c r="F9" s="535"/>
      <c r="G9" s="535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6" t="s">
        <v>132</v>
      </c>
      <c r="E13" s="536"/>
      <c r="F13" s="536"/>
      <c r="G13" s="536"/>
      <c r="H13" s="536"/>
    </row>
    <row r="14" spans="2:8" ht="15.75" customHeight="1">
      <c r="B14" s="52"/>
      <c r="C14" s="52"/>
      <c r="D14" s="536" t="s">
        <v>133</v>
      </c>
      <c r="E14" s="536"/>
      <c r="F14" s="536"/>
      <c r="G14" s="536"/>
      <c r="H14" s="536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9">
        <v>44620</v>
      </c>
      <c r="E22" s="538"/>
      <c r="F22" s="538"/>
      <c r="G22" s="538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8" t="s">
        <v>17</v>
      </c>
      <c r="E24" s="538"/>
      <c r="F24" s="538"/>
      <c r="G24" s="538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5" t="s">
        <v>152</v>
      </c>
      <c r="E26" s="535"/>
      <c r="F26" s="535"/>
      <c r="G26" s="535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44651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6" t="s">
        <v>161</v>
      </c>
      <c r="E37" s="536"/>
      <c r="F37" s="536"/>
      <c r="G37" s="536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8" t="s">
        <v>172</v>
      </c>
      <c r="E39" s="538"/>
      <c r="F39" s="538"/>
      <c r="G39" s="538"/>
      <c r="H39" s="537">
        <v>3.759</v>
      </c>
    </row>
    <row r="40" spans="4:8" ht="15.75" customHeight="1">
      <c r="D40" s="538"/>
      <c r="E40" s="538"/>
      <c r="F40" s="538"/>
      <c r="G40" s="538"/>
      <c r="H40" s="537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32" t="s">
        <v>174</v>
      </c>
      <c r="C5" s="532"/>
      <c r="D5" s="532"/>
      <c r="E5" s="532"/>
      <c r="F5" s="532"/>
      <c r="G5" s="532"/>
      <c r="H5" s="532"/>
      <c r="I5" s="532"/>
      <c r="J5" s="532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45" t="s">
        <v>18</v>
      </c>
      <c r="C6" s="545"/>
      <c r="D6" s="545"/>
      <c r="E6" s="545"/>
      <c r="F6" s="545"/>
      <c r="G6" s="545"/>
      <c r="H6" s="545"/>
      <c r="I6" s="545"/>
      <c r="J6" s="545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33" t="str">
        <f>+Indice!B7</f>
        <v>AL 28 DE FEBRERO 2022</v>
      </c>
      <c r="C7" s="533"/>
      <c r="D7" s="533"/>
      <c r="E7" s="533"/>
      <c r="F7" s="533"/>
      <c r="G7" s="533"/>
      <c r="H7" s="533"/>
      <c r="I7" s="533"/>
      <c r="J7" s="533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33"/>
      <c r="C8" s="533"/>
      <c r="D8" s="533"/>
      <c r="E8" s="533"/>
      <c r="F8" s="533"/>
      <c r="G8" s="533"/>
      <c r="H8" s="533"/>
      <c r="I8" s="533"/>
      <c r="J8" s="533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46" t="s">
        <v>162</v>
      </c>
      <c r="C9" s="546"/>
      <c r="D9" s="546"/>
      <c r="E9" s="546"/>
      <c r="F9" s="546"/>
      <c r="G9" s="546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42" t="s">
        <v>154</v>
      </c>
      <c r="C11" s="543"/>
      <c r="D11" s="543"/>
      <c r="E11" s="544"/>
      <c r="G11" s="542" t="s">
        <v>31</v>
      </c>
      <c r="H11" s="543"/>
      <c r="I11" s="543"/>
      <c r="J11" s="544"/>
    </row>
    <row r="12" spans="2:10" ht="19.5" customHeight="1">
      <c r="B12" s="121"/>
      <c r="C12" s="414" t="s">
        <v>77</v>
      </c>
      <c r="D12" s="415" t="s">
        <v>163</v>
      </c>
      <c r="E12" s="411" t="s">
        <v>27</v>
      </c>
      <c r="G12" s="124"/>
      <c r="H12" s="408" t="s">
        <v>77</v>
      </c>
      <c r="I12" s="408" t="str">
        <f>+D12</f>
        <v>Soles</v>
      </c>
      <c r="J12" s="491" t="s">
        <v>229</v>
      </c>
    </row>
    <row r="13" spans="2:15" ht="19.5" customHeight="1">
      <c r="B13" s="125" t="s">
        <v>73</v>
      </c>
      <c r="C13" s="409">
        <f>(+'DEP-C2'!C18+'DEP-C2'!C42)/1000</f>
        <v>7164.30753646</v>
      </c>
      <c r="D13" s="409">
        <f>(+'DEP-C2'!D18+'DEP-C2'!D42)/1000</f>
        <v>26930.63202955</v>
      </c>
      <c r="E13" s="412">
        <f>+C13/$C$15</f>
        <v>0.7708362005342548</v>
      </c>
      <c r="G13" s="125" t="s">
        <v>74</v>
      </c>
      <c r="H13" s="409">
        <f>+C21+C22+C23+C24</f>
        <v>3450.1267261700004</v>
      </c>
      <c r="I13" s="409">
        <f>+D21+D22+D23+D24</f>
        <v>12969.02636368</v>
      </c>
      <c r="J13" s="489">
        <f>+H13/$H$15</f>
        <v>0.37121278831598903</v>
      </c>
      <c r="N13" s="200"/>
      <c r="O13" s="200"/>
    </row>
    <row r="14" spans="2:15" ht="19.5" customHeight="1">
      <c r="B14" s="125" t="s">
        <v>72</v>
      </c>
      <c r="C14" s="409">
        <f>(+'DEP-C2'!C14+'DEP-C2'!C38)/1000</f>
        <v>2129.8946967700003</v>
      </c>
      <c r="D14" s="409">
        <f>(+'DEP-C2'!D14+'DEP-C2'!D38)/1000</f>
        <v>8006.274165162239</v>
      </c>
      <c r="E14" s="412">
        <f>+C14/$C$15</f>
        <v>0.22916379946574514</v>
      </c>
      <c r="G14" s="125" t="s">
        <v>75</v>
      </c>
      <c r="H14" s="409">
        <f>+C20</f>
        <v>5844.07550706</v>
      </c>
      <c r="I14" s="409">
        <f>+D20</f>
        <v>21967.879831039998</v>
      </c>
      <c r="J14" s="489">
        <f>+H14/$H$15</f>
        <v>0.628787211684011</v>
      </c>
      <c r="O14" s="156"/>
    </row>
    <row r="15" spans="2:15" ht="19.5" customHeight="1">
      <c r="B15" s="126" t="s">
        <v>28</v>
      </c>
      <c r="C15" s="410">
        <f>SUM(C13:C14)</f>
        <v>9294.20223323</v>
      </c>
      <c r="D15" s="410">
        <f>SUM(D13:D14)</f>
        <v>34936.90619471224</v>
      </c>
      <c r="E15" s="413">
        <f>SUM(E13:E14)</f>
        <v>1</v>
      </c>
      <c r="G15" s="126" t="s">
        <v>28</v>
      </c>
      <c r="H15" s="410">
        <f>SUM(H13:H14)</f>
        <v>9294.20223323</v>
      </c>
      <c r="I15" s="410">
        <f>SUM(I13:I14)</f>
        <v>34936.906194719995</v>
      </c>
      <c r="J15" s="490">
        <f>SUM(J13:J14)</f>
        <v>1</v>
      </c>
      <c r="O15" s="156"/>
    </row>
    <row r="16" spans="2:10" ht="19.5" customHeight="1">
      <c r="B16" s="123"/>
      <c r="C16" s="498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42" t="s">
        <v>68</v>
      </c>
      <c r="C18" s="543"/>
      <c r="D18" s="543"/>
      <c r="E18" s="544"/>
      <c r="G18" s="542" t="s">
        <v>62</v>
      </c>
      <c r="H18" s="543"/>
      <c r="I18" s="543"/>
      <c r="J18" s="544"/>
      <c r="L18" s="127"/>
    </row>
    <row r="19" spans="2:10" ht="19.5" customHeight="1">
      <c r="B19" s="124"/>
      <c r="C19" s="408" t="s">
        <v>77</v>
      </c>
      <c r="D19" s="408" t="str">
        <f>+D12</f>
        <v>Soles</v>
      </c>
      <c r="E19" s="416" t="s">
        <v>27</v>
      </c>
      <c r="G19" s="124"/>
      <c r="H19" s="408" t="s">
        <v>77</v>
      </c>
      <c r="I19" s="408" t="str">
        <f>+I12</f>
        <v>Soles</v>
      </c>
      <c r="J19" s="416" t="s">
        <v>27</v>
      </c>
    </row>
    <row r="20" spans="2:12" ht="19.5" customHeight="1">
      <c r="B20" s="125" t="s">
        <v>75</v>
      </c>
      <c r="C20" s="409">
        <f>+(+'DEP-C7'!D20+'DEP-C7'!D36)/1000</f>
        <v>5844.07550706</v>
      </c>
      <c r="D20" s="409">
        <f>+(+'DEP-C7'!E20+'DEP-C7'!E36)/1000</f>
        <v>21967.879831039998</v>
      </c>
      <c r="E20" s="412">
        <f>+C20/$C$25</f>
        <v>0.628787211684011</v>
      </c>
      <c r="G20" s="125" t="s">
        <v>77</v>
      </c>
      <c r="H20" s="409">
        <f>('DEP-C3'!C22+'DEP-C3'!C57)/1000</f>
        <v>6914.60313911</v>
      </c>
      <c r="I20" s="409">
        <f>('DEP-C3'!D22+'DEP-C3'!D57)/1000</f>
        <v>25991.99319992</v>
      </c>
      <c r="J20" s="412">
        <f>+H20/$H$24</f>
        <v>0.7439695162203265</v>
      </c>
      <c r="L20" s="157"/>
    </row>
    <row r="21" spans="2:12" ht="19.5" customHeight="1">
      <c r="B21" s="125" t="s">
        <v>76</v>
      </c>
      <c r="C21" s="409">
        <f>+(+'DEP-C7'!D15+'DEP-C7'!D30+'DEP-C7'!D74)/1000</f>
        <v>1944.30147921</v>
      </c>
      <c r="D21" s="409">
        <f>+(+'DEP-C7'!E15+'DEP-C7'!E30+'DEP-C7'!E74)/1000</f>
        <v>7308.6292603599995</v>
      </c>
      <c r="E21" s="412">
        <f>+C21/$C$25</f>
        <v>0.20919509070487483</v>
      </c>
      <c r="G21" s="125" t="s">
        <v>163</v>
      </c>
      <c r="H21" s="409">
        <f>('DEP-C3'!C14+'DEP-C3'!C49)/1000</f>
        <v>1960.2269483</v>
      </c>
      <c r="I21" s="409">
        <f>(+'DEP-C3'!D14+'DEP-C3'!D49)/1000</f>
        <v>7368.49309866</v>
      </c>
      <c r="J21" s="412">
        <f>+H21/$H$24</f>
        <v>0.21090857494917728</v>
      </c>
      <c r="L21" s="170"/>
    </row>
    <row r="22" spans="2:12" ht="19.5" customHeight="1">
      <c r="B22" s="125" t="s">
        <v>215</v>
      </c>
      <c r="C22" s="409">
        <f>+('DEP-C7'!D22+'DEP-C7'!D39)/1000</f>
        <v>535.29851737</v>
      </c>
      <c r="D22" s="409">
        <f>+('DEP-C7'!E22+'DEP-C7'!E39)/1000</f>
        <v>2012.18712679</v>
      </c>
      <c r="E22" s="412">
        <f>+C22/$C$25</f>
        <v>0.0575948859231965</v>
      </c>
      <c r="G22" s="125" t="s">
        <v>78</v>
      </c>
      <c r="H22" s="409">
        <f>+'DEP-C3'!C26/1000</f>
        <v>182.59231117</v>
      </c>
      <c r="I22" s="409">
        <f>+'DEP-C3'!D26/1000</f>
        <v>686.36449769</v>
      </c>
      <c r="J22" s="412">
        <f>+H22/$H$24</f>
        <v>0.019645829366308504</v>
      </c>
      <c r="L22" s="201"/>
    </row>
    <row r="23" spans="2:12" ht="19.5" customHeight="1">
      <c r="B23" s="125" t="s">
        <v>126</v>
      </c>
      <c r="C23" s="409">
        <f>+('DEP-C7'!D18+'DEP-C7'!D34+'DEP-C7'!D83)/1000</f>
        <v>457.8018799899999</v>
      </c>
      <c r="D23" s="409">
        <f>(+'DEP-C7'!E18+'DEP-C7'!E34+'DEP-C7'!E83)/1000</f>
        <v>1720.87726688</v>
      </c>
      <c r="E23" s="412">
        <f>+C23/$C$25</f>
        <v>0.04925671601519485</v>
      </c>
      <c r="G23" s="125" t="s">
        <v>79</v>
      </c>
      <c r="H23" s="235">
        <f>+'DEP-C3'!C30/1000</f>
        <v>236.77983464999997</v>
      </c>
      <c r="I23" s="235">
        <f>+'DEP-C3'!D30/1000</f>
        <v>890.0553984500001</v>
      </c>
      <c r="J23" s="412">
        <f>+H23/$H$24</f>
        <v>0.025476079464187888</v>
      </c>
      <c r="L23" s="170"/>
    </row>
    <row r="24" spans="2:12" ht="19.5" customHeight="1">
      <c r="B24" s="125" t="s">
        <v>36</v>
      </c>
      <c r="C24" s="409">
        <f>+('DEP-C7'!D25+'DEP-C7'!D41+'DEP-C7'!D85)/1000</f>
        <v>512.7248496</v>
      </c>
      <c r="D24" s="409">
        <f>+('DEP-C7'!E25+'DEP-C7'!E41+'DEP-C7'!E85)/1000</f>
        <v>1927.33270965</v>
      </c>
      <c r="E24" s="412">
        <f>+C24/$C$25</f>
        <v>0.055166095672722786</v>
      </c>
      <c r="G24" s="126" t="s">
        <v>28</v>
      </c>
      <c r="H24" s="410">
        <f>SUM(H20:H23)</f>
        <v>9294.202233229998</v>
      </c>
      <c r="I24" s="410">
        <f>SUM(I20:I23)</f>
        <v>34936.90619472</v>
      </c>
      <c r="J24" s="413">
        <f>SUM(J20:J23)</f>
        <v>1.0000000000000002</v>
      </c>
      <c r="L24" s="202"/>
    </row>
    <row r="25" spans="2:5" ht="19.5" customHeight="1">
      <c r="B25" s="126" t="s">
        <v>28</v>
      </c>
      <c r="C25" s="410">
        <f>SUM(C20:C24)</f>
        <v>9294.20223323</v>
      </c>
      <c r="D25" s="410">
        <f>SUM(D20:D24)</f>
        <v>34936.906194719995</v>
      </c>
      <c r="E25" s="41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42" t="s">
        <v>29</v>
      </c>
      <c r="C28" s="543"/>
      <c r="D28" s="543"/>
      <c r="E28" s="544"/>
      <c r="G28" s="542" t="s">
        <v>30</v>
      </c>
      <c r="H28" s="543"/>
      <c r="I28" s="543"/>
      <c r="J28" s="544"/>
    </row>
    <row r="29" spans="2:10" ht="19.5" customHeight="1">
      <c r="B29" s="124"/>
      <c r="C29" s="408" t="s">
        <v>77</v>
      </c>
      <c r="D29" s="408" t="str">
        <f>+D19</f>
        <v>Soles</v>
      </c>
      <c r="E29" s="416" t="s">
        <v>27</v>
      </c>
      <c r="G29" s="124"/>
      <c r="H29" s="122" t="s">
        <v>77</v>
      </c>
      <c r="I29" s="122" t="str">
        <f>+I19</f>
        <v>Soles</v>
      </c>
      <c r="J29" s="417" t="s">
        <v>27</v>
      </c>
    </row>
    <row r="30" spans="2:14" ht="19.5" customHeight="1">
      <c r="B30" s="125" t="s">
        <v>92</v>
      </c>
      <c r="C30" s="409">
        <f>(+'DEP-C2'!C15+'DEP-C2'!C19+'DEP-C2'!C43)/1000</f>
        <v>3827.94004538</v>
      </c>
      <c r="D30" s="409">
        <f>(+'DEP-C2'!D15+'DEP-C2'!D19+'DEP-C2'!D43)/1000</f>
        <v>14389.226630579999</v>
      </c>
      <c r="E30" s="412">
        <f>+C30/$C$32</f>
        <v>0.4118632185228104</v>
      </c>
      <c r="G30" s="125" t="s">
        <v>80</v>
      </c>
      <c r="H30" s="409">
        <f>'DEP-C2'!C22/1000</f>
        <v>8698.52836187</v>
      </c>
      <c r="I30" s="409">
        <f>+'DEP-C2'!D22/1000</f>
        <v>32697.76811227</v>
      </c>
      <c r="J30" s="412">
        <f>+H30/$H$32</f>
        <v>0.9359090908060662</v>
      </c>
      <c r="N30" s="157"/>
    </row>
    <row r="31" spans="2:14" ht="19.5" customHeight="1">
      <c r="B31" s="125" t="s">
        <v>93</v>
      </c>
      <c r="C31" s="409">
        <f>(+'DEP-C2'!C16+'DEP-C2'!C20+'DEP-C2'!C40+'DEP-C2'!C44)/1000</f>
        <v>5466.26218785</v>
      </c>
      <c r="D31" s="409">
        <f>(+'DEP-C2'!D16+'DEP-C2'!D20+'DEP-C2'!D40+'DEP-C2'!D44)/1000</f>
        <v>20547.67956413224</v>
      </c>
      <c r="E31" s="412">
        <f>+C31/$C$32</f>
        <v>0.5881367814771896</v>
      </c>
      <c r="G31" s="125" t="s">
        <v>81</v>
      </c>
      <c r="H31" s="409">
        <f>+'DEP-C2'!C46/1000</f>
        <v>595.67387136</v>
      </c>
      <c r="I31" s="409">
        <f>+'DEP-C2'!D46/1000</f>
        <v>2239.13808244224</v>
      </c>
      <c r="J31" s="412">
        <f>+H31/$H$32</f>
        <v>0.06409090919393373</v>
      </c>
      <c r="N31" s="158"/>
    </row>
    <row r="32" spans="2:14" ht="19.5" customHeight="1">
      <c r="B32" s="126" t="s">
        <v>28</v>
      </c>
      <c r="C32" s="410">
        <f>SUM(C30:C31)</f>
        <v>9294.20223323</v>
      </c>
      <c r="D32" s="410">
        <f>SUM(D30:D31)</f>
        <v>34936.90619471224</v>
      </c>
      <c r="E32" s="413">
        <f>SUM(E30:E31)</f>
        <v>1</v>
      </c>
      <c r="G32" s="126" t="s">
        <v>28</v>
      </c>
      <c r="H32" s="410">
        <f>SUM(H30:H31)</f>
        <v>9294.20223323</v>
      </c>
      <c r="I32" s="410">
        <f>SUM(I30:I31)</f>
        <v>34936.90619471224</v>
      </c>
      <c r="J32" s="413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40"/>
      <c r="C37" s="541"/>
      <c r="D37" s="541"/>
      <c r="E37" s="541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32" t="s">
        <v>175</v>
      </c>
      <c r="C5" s="532"/>
      <c r="D5" s="532"/>
      <c r="E5" s="532"/>
      <c r="F5" s="532"/>
      <c r="G5" s="532"/>
      <c r="H5" s="532"/>
    </row>
    <row r="6" spans="2:8" s="4" customFormat="1" ht="19.5" customHeight="1">
      <c r="B6" s="545" t="s">
        <v>18</v>
      </c>
      <c r="C6" s="545"/>
      <c r="D6" s="545"/>
      <c r="E6" s="545"/>
      <c r="F6" s="545"/>
      <c r="G6" s="545"/>
      <c r="H6" s="545"/>
    </row>
    <row r="7" spans="2:8" s="4" customFormat="1" ht="18" customHeight="1">
      <c r="B7" s="533" t="str">
        <f>+Indice!B7</f>
        <v>AL 28 DE FEBRERO 2022</v>
      </c>
      <c r="C7" s="533"/>
      <c r="D7" s="533"/>
      <c r="E7" s="533"/>
      <c r="F7" s="533"/>
      <c r="G7" s="533"/>
      <c r="H7" s="533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9" t="str">
        <f>+Resumen!B11:E11</f>
        <v>TIPO DE DEUDA</v>
      </c>
      <c r="C10" s="549"/>
      <c r="D10" s="549"/>
      <c r="E10" s="90"/>
      <c r="F10" s="549" t="s">
        <v>31</v>
      </c>
      <c r="G10" s="549"/>
      <c r="H10" s="549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9" t="str">
        <f>+Resumen!B18:E18</f>
        <v>GRUPO DEL ACREEDOR</v>
      </c>
      <c r="C28" s="549"/>
      <c r="D28" s="549"/>
      <c r="F28" s="549" t="s">
        <v>62</v>
      </c>
      <c r="G28" s="549"/>
      <c r="H28" s="549"/>
    </row>
    <row r="48" spans="2:8" s="23" customFormat="1" ht="16.5">
      <c r="B48" s="549" t="s">
        <v>29</v>
      </c>
      <c r="C48" s="549"/>
      <c r="D48" s="549"/>
      <c r="F48" s="549" t="s">
        <v>30</v>
      </c>
      <c r="G48" s="549"/>
      <c r="H48" s="549"/>
    </row>
    <row r="66" spans="2:8" ht="30" customHeight="1">
      <c r="B66" s="550"/>
      <c r="C66" s="550"/>
      <c r="D66" s="550"/>
      <c r="E66" s="550"/>
      <c r="F66" s="550"/>
      <c r="G66" s="550"/>
      <c r="H66" s="550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7"/>
      <c r="C69" s="548"/>
      <c r="D69" s="548"/>
      <c r="E69" s="548"/>
      <c r="F69" s="51"/>
      <c r="G69" s="51"/>
      <c r="H69" s="51"/>
    </row>
    <row r="70" spans="2:8" ht="15.75" customHeight="1">
      <c r="B70" s="547"/>
      <c r="C70" s="548"/>
      <c r="D70" s="548"/>
      <c r="E70" s="548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38" width="11.7109375" style="9" customWidth="1"/>
    <col min="39" max="39" width="9.7109375" style="9" customWidth="1"/>
    <col min="40" max="41" width="9.7109375" style="9" hidden="1" customWidth="1"/>
    <col min="42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585"/>
      <c r="C2" s="585"/>
      <c r="D2" s="585"/>
      <c r="E2" s="585"/>
      <c r="F2" s="585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5"/>
      <c r="C3" s="585"/>
      <c r="D3" s="585"/>
      <c r="E3" s="585"/>
      <c r="F3" s="585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263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50" s="27" customFormat="1" ht="18" customHeight="1">
      <c r="B12" s="555" t="s">
        <v>141</v>
      </c>
      <c r="C12" s="557">
        <v>2009</v>
      </c>
      <c r="D12" s="588">
        <v>2010</v>
      </c>
      <c r="E12" s="586">
        <v>2011</v>
      </c>
      <c r="F12" s="557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7">
        <v>2013</v>
      </c>
      <c r="S12" s="557">
        <v>2014</v>
      </c>
      <c r="T12" s="581">
        <v>2015</v>
      </c>
      <c r="U12" s="565">
        <v>2016</v>
      </c>
      <c r="V12" s="583">
        <v>2017</v>
      </c>
      <c r="W12" s="551">
        <v>2018</v>
      </c>
      <c r="X12" s="551">
        <v>2019</v>
      </c>
      <c r="Y12" s="551">
        <v>2020</v>
      </c>
      <c r="Z12" s="529">
        <v>2021</v>
      </c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90">
        <v>2021</v>
      </c>
      <c r="AL12" s="578">
        <v>2022</v>
      </c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80"/>
      <c r="AX12" s="494"/>
    </row>
    <row r="13" spans="2:50" s="27" customFormat="1" ht="18" customHeight="1">
      <c r="B13" s="556"/>
      <c r="C13" s="558"/>
      <c r="D13" s="589"/>
      <c r="E13" s="587"/>
      <c r="F13" s="558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8"/>
      <c r="S13" s="558"/>
      <c r="T13" s="582"/>
      <c r="U13" s="566"/>
      <c r="V13" s="584"/>
      <c r="W13" s="552"/>
      <c r="X13" s="552"/>
      <c r="Y13" s="552"/>
      <c r="Z13" s="493" t="s">
        <v>98</v>
      </c>
      <c r="AA13" s="426" t="s">
        <v>99</v>
      </c>
      <c r="AB13" s="525" t="s">
        <v>104</v>
      </c>
      <c r="AC13" s="432" t="s">
        <v>106</v>
      </c>
      <c r="AD13" s="526" t="s">
        <v>235</v>
      </c>
      <c r="AE13" s="525" t="s">
        <v>123</v>
      </c>
      <c r="AF13" s="439" t="s">
        <v>142</v>
      </c>
      <c r="AG13" s="448" t="s">
        <v>144</v>
      </c>
      <c r="AH13" s="527" t="s">
        <v>249</v>
      </c>
      <c r="AI13" s="528" t="s">
        <v>149</v>
      </c>
      <c r="AJ13" s="439" t="s">
        <v>151</v>
      </c>
      <c r="AK13" s="591"/>
      <c r="AL13" s="493" t="s">
        <v>98</v>
      </c>
      <c r="AM13" s="426" t="s">
        <v>99</v>
      </c>
      <c r="AN13" s="430" t="s">
        <v>104</v>
      </c>
      <c r="AO13" s="432" t="s">
        <v>106</v>
      </c>
      <c r="AP13" s="437" t="s">
        <v>235</v>
      </c>
      <c r="AQ13" s="430" t="s">
        <v>123</v>
      </c>
      <c r="AR13" s="439" t="s">
        <v>142</v>
      </c>
      <c r="AS13" s="448" t="s">
        <v>144</v>
      </c>
      <c r="AT13" s="451" t="s">
        <v>249</v>
      </c>
      <c r="AU13" s="481" t="s">
        <v>149</v>
      </c>
      <c r="AV13" s="439" t="s">
        <v>151</v>
      </c>
      <c r="AW13" s="480" t="s">
        <v>173</v>
      </c>
      <c r="AX13" s="494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2"/>
      <c r="X14" s="482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2"/>
      <c r="AJ14" s="440"/>
      <c r="AK14" s="440"/>
      <c r="AL14" s="402"/>
      <c r="AM14" s="427"/>
      <c r="AN14" s="182"/>
      <c r="AO14" s="427"/>
      <c r="AP14" s="438"/>
      <c r="AQ14" s="182"/>
      <c r="AR14" s="440"/>
      <c r="AS14" s="449"/>
      <c r="AT14" s="403"/>
      <c r="AU14" s="482"/>
      <c r="AV14" s="440"/>
      <c r="AW14" s="440"/>
      <c r="AX14" s="494"/>
    </row>
    <row r="15" spans="2:51" s="25" customFormat="1" ht="21.75" customHeight="1">
      <c r="B15" s="178" t="s">
        <v>34</v>
      </c>
      <c r="C15" s="487">
        <v>1389</v>
      </c>
      <c r="D15" s="487">
        <v>2144</v>
      </c>
      <c r="E15" s="48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3">
        <v>2585.67327702</v>
      </c>
      <c r="X15" s="483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3">
        <v>1829.166610660001</v>
      </c>
      <c r="AG15" s="483">
        <v>1874.6325798299988</v>
      </c>
      <c r="AH15" s="441">
        <v>1899.0710651699999</v>
      </c>
      <c r="AI15" s="483">
        <v>1939.514755</v>
      </c>
      <c r="AJ15" s="441">
        <v>1986.8050023</v>
      </c>
      <c r="AK15" s="441">
        <v>2166.44417054</v>
      </c>
      <c r="AL15" s="404">
        <v>2152.2243202</v>
      </c>
      <c r="AM15" s="428">
        <v>2129.8946967700003</v>
      </c>
      <c r="AN15" s="33">
        <v>0</v>
      </c>
      <c r="AO15" s="428">
        <v>0</v>
      </c>
      <c r="AP15" s="400">
        <v>0</v>
      </c>
      <c r="AQ15" s="400">
        <v>0</v>
      </c>
      <c r="AR15" s="483">
        <v>0</v>
      </c>
      <c r="AS15" s="483">
        <v>0</v>
      </c>
      <c r="AT15" s="441">
        <v>0</v>
      </c>
      <c r="AU15" s="483">
        <v>0</v>
      </c>
      <c r="AV15" s="441">
        <v>0</v>
      </c>
      <c r="AW15" s="441">
        <v>0</v>
      </c>
      <c r="AX15" s="517"/>
      <c r="AY15" s="462"/>
    </row>
    <row r="16" spans="2:51" s="25" customFormat="1" ht="21.75" customHeight="1">
      <c r="B16" s="178" t="s">
        <v>33</v>
      </c>
      <c r="C16" s="487">
        <v>256</v>
      </c>
      <c r="D16" s="487">
        <v>389</v>
      </c>
      <c r="E16" s="48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3">
        <v>7233.929935290001</v>
      </c>
      <c r="X16" s="483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3">
        <v>7128.95570324</v>
      </c>
      <c r="AG16" s="483">
        <v>7137.063251669999</v>
      </c>
      <c r="AH16" s="441">
        <v>7162.63829835</v>
      </c>
      <c r="AI16" s="483">
        <v>7256.429646359999</v>
      </c>
      <c r="AJ16" s="441">
        <v>7243.23665188</v>
      </c>
      <c r="AK16" s="441">
        <v>7402.06335374</v>
      </c>
      <c r="AL16" s="404">
        <v>7364.97449206</v>
      </c>
      <c r="AM16" s="428">
        <v>7164.30753646</v>
      </c>
      <c r="AN16" s="33">
        <v>0</v>
      </c>
      <c r="AO16" s="428">
        <v>0</v>
      </c>
      <c r="AP16" s="400">
        <v>0</v>
      </c>
      <c r="AQ16" s="400">
        <v>0</v>
      </c>
      <c r="AR16" s="483">
        <v>0</v>
      </c>
      <c r="AS16" s="483">
        <v>0</v>
      </c>
      <c r="AT16" s="441">
        <v>0</v>
      </c>
      <c r="AU16" s="483">
        <v>0</v>
      </c>
      <c r="AV16" s="441">
        <v>0</v>
      </c>
      <c r="AW16" s="441">
        <v>0</v>
      </c>
      <c r="AX16" s="518"/>
      <c r="AY16" s="462"/>
    </row>
    <row r="17" spans="2:50" s="25" customFormat="1" ht="6" customHeight="1">
      <c r="B17" s="179"/>
      <c r="C17" s="488"/>
      <c r="D17" s="488"/>
      <c r="E17" s="48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4"/>
      <c r="X17" s="484"/>
      <c r="Y17" s="442"/>
      <c r="Z17" s="405"/>
      <c r="AA17" s="429"/>
      <c r="AB17" s="35"/>
      <c r="AC17" s="429"/>
      <c r="AD17" s="401"/>
      <c r="AE17" s="401"/>
      <c r="AF17" s="484"/>
      <c r="AG17" s="484"/>
      <c r="AH17" s="442"/>
      <c r="AI17" s="484"/>
      <c r="AJ17" s="442"/>
      <c r="AK17" s="442"/>
      <c r="AL17" s="405"/>
      <c r="AM17" s="429"/>
      <c r="AN17" s="35"/>
      <c r="AO17" s="429"/>
      <c r="AP17" s="401"/>
      <c r="AQ17" s="401"/>
      <c r="AR17" s="484"/>
      <c r="AS17" s="484"/>
      <c r="AT17" s="442"/>
      <c r="AU17" s="484"/>
      <c r="AV17" s="442"/>
      <c r="AW17" s="442"/>
      <c r="AX17" s="495"/>
    </row>
    <row r="18" spans="2:50" s="27" customFormat="1" ht="15" customHeight="1">
      <c r="B18" s="570" t="s">
        <v>100</v>
      </c>
      <c r="C18" s="572">
        <f aca="true" t="shared" si="0" ref="C18:H18">SUM(C15:C16)</f>
        <v>1645</v>
      </c>
      <c r="D18" s="572">
        <f t="shared" si="0"/>
        <v>2533</v>
      </c>
      <c r="E18" s="563">
        <f t="shared" si="0"/>
        <v>2778</v>
      </c>
      <c r="F18" s="572">
        <f t="shared" si="0"/>
        <v>3231.62940566</v>
      </c>
      <c r="G18" s="574">
        <f t="shared" si="0"/>
        <v>3978.2822575499995</v>
      </c>
      <c r="H18" s="574">
        <f t="shared" si="0"/>
        <v>4283.16118678</v>
      </c>
      <c r="I18" s="561">
        <f aca="true" t="shared" si="1" ref="I18:N18">SUM(I15:I16)</f>
        <v>4271.37034379</v>
      </c>
      <c r="J18" s="561">
        <f t="shared" si="1"/>
        <v>3622.58121752</v>
      </c>
      <c r="K18" s="561">
        <f t="shared" si="1"/>
        <v>3177.2183911999996</v>
      </c>
      <c r="L18" s="561">
        <f t="shared" si="1"/>
        <v>3224.1298934800006</v>
      </c>
      <c r="M18" s="561">
        <f t="shared" si="1"/>
        <v>3273.10540427</v>
      </c>
      <c r="N18" s="561">
        <f t="shared" si="1"/>
        <v>3382.31552197</v>
      </c>
      <c r="O18" s="561">
        <f>+O15+O16</f>
        <v>3510.4566990000008</v>
      </c>
      <c r="P18" s="561">
        <f>+P15+P16</f>
        <v>3663.6902058299997</v>
      </c>
      <c r="Q18" s="561">
        <f>+Q15+Q16</f>
        <v>3934.70126796</v>
      </c>
      <c r="R18" s="561">
        <f>+R15+R16</f>
        <v>4098.53643417</v>
      </c>
      <c r="S18" s="561">
        <f>+S15+S16</f>
        <v>5844.665124709998</v>
      </c>
      <c r="T18" s="567">
        <f aca="true" t="shared" si="2" ref="T18:Y18">+T16+T15</f>
        <v>6460.4098858299985</v>
      </c>
      <c r="U18" s="576">
        <f t="shared" si="2"/>
        <v>7470.60126099</v>
      </c>
      <c r="V18" s="567">
        <f t="shared" si="2"/>
        <v>8802.2634794</v>
      </c>
      <c r="W18" s="553">
        <f t="shared" si="2"/>
        <v>9819.603212310001</v>
      </c>
      <c r="X18" s="553">
        <f t="shared" si="2"/>
        <v>8524.64820177</v>
      </c>
      <c r="Y18" s="559">
        <f t="shared" si="2"/>
        <v>9462.238465600001</v>
      </c>
      <c r="Z18" s="553">
        <f aca="true" t="shared" si="3" ref="Z18:AJ18">+Z16+Z15</f>
        <v>9202.06684311</v>
      </c>
      <c r="AA18" s="563">
        <f t="shared" si="3"/>
        <v>8535.270265389998</v>
      </c>
      <c r="AB18" s="576">
        <f t="shared" si="3"/>
        <v>8291.919997039999</v>
      </c>
      <c r="AC18" s="563">
        <f t="shared" si="3"/>
        <v>8177.240893120001</v>
      </c>
      <c r="AD18" s="567">
        <f t="shared" si="3"/>
        <v>9204.96979524</v>
      </c>
      <c r="AE18" s="576">
        <f t="shared" si="3"/>
        <v>9056.90819482</v>
      </c>
      <c r="AF18" s="559">
        <f t="shared" si="3"/>
        <v>8958.122313900001</v>
      </c>
      <c r="AG18" s="567">
        <f t="shared" si="3"/>
        <v>9011.695831499997</v>
      </c>
      <c r="AH18" s="561">
        <f t="shared" si="3"/>
        <v>9061.70936352</v>
      </c>
      <c r="AI18" s="553">
        <f t="shared" si="3"/>
        <v>9195.944401359999</v>
      </c>
      <c r="AJ18" s="559">
        <f t="shared" si="3"/>
        <v>9230.04165418</v>
      </c>
      <c r="AK18" s="559">
        <f aca="true" t="shared" si="4" ref="AK18:AP18">+AK16+AK15</f>
        <v>9568.50752428</v>
      </c>
      <c r="AL18" s="553">
        <f t="shared" si="4"/>
        <v>9517.19881226</v>
      </c>
      <c r="AM18" s="563">
        <f t="shared" si="4"/>
        <v>9294.20223323</v>
      </c>
      <c r="AN18" s="576">
        <f t="shared" si="4"/>
        <v>0</v>
      </c>
      <c r="AO18" s="563">
        <f t="shared" si="4"/>
        <v>0</v>
      </c>
      <c r="AP18" s="567">
        <f t="shared" si="4"/>
        <v>0</v>
      </c>
      <c r="AQ18" s="576">
        <f aca="true" t="shared" si="5" ref="AQ18:AV18">+AQ16+AQ15</f>
        <v>0</v>
      </c>
      <c r="AR18" s="559">
        <f t="shared" si="5"/>
        <v>0</v>
      </c>
      <c r="AS18" s="567">
        <f t="shared" si="5"/>
        <v>0</v>
      </c>
      <c r="AT18" s="561">
        <f t="shared" si="5"/>
        <v>0</v>
      </c>
      <c r="AU18" s="553">
        <f t="shared" si="5"/>
        <v>0</v>
      </c>
      <c r="AV18" s="559">
        <f t="shared" si="5"/>
        <v>0</v>
      </c>
      <c r="AW18" s="559">
        <f>+AW16+AW15</f>
        <v>0</v>
      </c>
      <c r="AX18" s="494"/>
    </row>
    <row r="19" spans="2:51" s="27" customFormat="1" ht="15" customHeight="1">
      <c r="B19" s="571"/>
      <c r="C19" s="573"/>
      <c r="D19" s="573"/>
      <c r="E19" s="564"/>
      <c r="F19" s="573"/>
      <c r="G19" s="575"/>
      <c r="H19" s="575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8"/>
      <c r="U19" s="577"/>
      <c r="V19" s="568"/>
      <c r="W19" s="554"/>
      <c r="X19" s="554"/>
      <c r="Y19" s="560"/>
      <c r="Z19" s="554"/>
      <c r="AA19" s="564"/>
      <c r="AB19" s="577"/>
      <c r="AC19" s="564"/>
      <c r="AD19" s="568"/>
      <c r="AE19" s="577"/>
      <c r="AF19" s="560"/>
      <c r="AG19" s="568"/>
      <c r="AH19" s="562"/>
      <c r="AI19" s="554"/>
      <c r="AJ19" s="560"/>
      <c r="AK19" s="560"/>
      <c r="AL19" s="554"/>
      <c r="AM19" s="564"/>
      <c r="AN19" s="577"/>
      <c r="AO19" s="564"/>
      <c r="AP19" s="568"/>
      <c r="AQ19" s="577"/>
      <c r="AR19" s="560"/>
      <c r="AS19" s="568"/>
      <c r="AT19" s="562"/>
      <c r="AU19" s="554"/>
      <c r="AV19" s="560"/>
      <c r="AW19" s="560"/>
      <c r="AX19" s="494"/>
      <c r="AY19" s="462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49" s="25" customFormat="1" ht="28.5" customHeight="1">
      <c r="B22" s="569"/>
      <c r="C22" s="569"/>
      <c r="D22" s="569"/>
      <c r="E22" s="569"/>
      <c r="F22" s="569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5"/>
      <c r="AE22" s="203"/>
      <c r="AF22" s="203"/>
      <c r="AG22" s="203"/>
      <c r="AH22" s="203"/>
      <c r="AI22" s="203"/>
      <c r="AJ22" s="203"/>
      <c r="AK22" s="203"/>
      <c r="AL22" s="188"/>
      <c r="AM22" s="188"/>
      <c r="AN22" s="188"/>
      <c r="AO22" s="203"/>
      <c r="AP22" s="505"/>
      <c r="AQ22" s="203"/>
      <c r="AR22" s="203"/>
      <c r="AS22" s="203"/>
      <c r="AT22" s="203"/>
      <c r="AU22" s="203"/>
      <c r="AV22" s="203"/>
      <c r="AW22" s="203"/>
    </row>
    <row r="23" spans="2:49" s="25" customFormat="1" ht="28.5" customHeight="1">
      <c r="B23" s="569"/>
      <c r="C23" s="569"/>
      <c r="D23" s="569"/>
      <c r="E23" s="569"/>
      <c r="F23" s="569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3"/>
      <c r="AD23" s="505"/>
      <c r="AF23" s="203"/>
      <c r="AG23" s="505"/>
      <c r="AK23" s="503"/>
      <c r="AP23" s="505"/>
      <c r="AR23" s="203"/>
      <c r="AS23" s="505"/>
      <c r="AW23" s="503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  <c r="AR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B23:F23"/>
    <mergeCell ref="B18:B19"/>
    <mergeCell ref="C18:C19"/>
    <mergeCell ref="D18:D19"/>
    <mergeCell ref="E18:E19"/>
    <mergeCell ref="G18:G19"/>
    <mergeCell ref="B22:F22"/>
    <mergeCell ref="F18:F19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85"/>
      <c r="C2" s="585"/>
      <c r="D2" s="585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85"/>
      <c r="C3" s="585"/>
      <c r="D3" s="585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85"/>
      <c r="C4" s="585"/>
      <c r="D4" s="585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260</v>
      </c>
      <c r="C9" s="268"/>
      <c r="D9" s="137"/>
      <c r="E9" s="318">
        <f>+Portada!H39</f>
        <v>3.759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96" t="s">
        <v>156</v>
      </c>
      <c r="C11" s="592" t="s">
        <v>87</v>
      </c>
      <c r="D11" s="592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97"/>
      <c r="C12" s="593"/>
      <c r="D12" s="593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1699220.82541</v>
      </c>
      <c r="D14" s="464">
        <f>SUM(D15:D16)</f>
        <v>6387371.082719999</v>
      </c>
      <c r="E14" s="320"/>
      <c r="F14" s="496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1128632.50892</v>
      </c>
      <c r="D15" s="465">
        <f>ROUND(+C15*$E$9,5)</f>
        <v>4242529.60103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570588.31649</v>
      </c>
      <c r="D16" s="465">
        <f>ROUND(+C16*$E$9,5)</f>
        <v>2144841.48169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6999307.53646</v>
      </c>
      <c r="D18" s="464">
        <f>SUM(D19:D20)</f>
        <v>26310397.02955</v>
      </c>
      <c r="E18" s="320"/>
      <c r="F18" s="496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2699307.53646</v>
      </c>
      <c r="D19" s="465">
        <f>ROUND(+C19*$E$9,5)</f>
        <v>10146697.02955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5">
        <v>4300000</v>
      </c>
      <c r="D20" s="465">
        <f>ROUND(+C20*$E$9,5)</f>
        <v>16163700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98" t="s">
        <v>61</v>
      </c>
      <c r="C22" s="594">
        <f>+C18+C14</f>
        <v>8698528.36187</v>
      </c>
      <c r="D22" s="594">
        <f>+D18+D14</f>
        <v>32697768.11227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99"/>
      <c r="C23" s="595"/>
      <c r="D23" s="595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28 de febrero de 2022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96" t="s">
        <v>156</v>
      </c>
      <c r="C35" s="592" t="s">
        <v>87</v>
      </c>
      <c r="D35" s="592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97"/>
      <c r="C36" s="593"/>
      <c r="D36" s="593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6">
        <f>SUM(C39:C40)</f>
        <v>430673.87136</v>
      </c>
      <c r="D38" s="464">
        <f>SUM(D39:D40)</f>
        <v>1618903.0824422399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430673.87136</v>
      </c>
      <c r="D40" s="465">
        <f>+C40*$E$9</f>
        <v>1618903.0824422399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6">
        <f>SUM(C43:C44)</f>
        <v>165000</v>
      </c>
      <c r="D42" s="464">
        <f>SUM(D43:D44)</f>
        <v>620235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165000</v>
      </c>
      <c r="D44" s="465">
        <f>+C44*$E$9</f>
        <v>620235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98" t="s">
        <v>61</v>
      </c>
      <c r="C46" s="594">
        <f>+C42+C38</f>
        <v>595673.87136</v>
      </c>
      <c r="D46" s="594">
        <f>+D42+D38</f>
        <v>2239138.08244224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99"/>
      <c r="C47" s="595"/>
      <c r="D47" s="595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15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7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0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604" t="str">
        <f>+'DEP-C2'!B9</f>
        <v>Al 28 de febrero de 2022</v>
      </c>
      <c r="C9" s="604"/>
      <c r="D9" s="266"/>
      <c r="E9" s="318">
        <f>+Portada!H39</f>
        <v>3.759</v>
      </c>
      <c r="M9" s="190"/>
    </row>
    <row r="10" spans="2:13" s="65" customFormat="1" ht="9.75" customHeight="1">
      <c r="B10" s="607"/>
      <c r="C10" s="607"/>
      <c r="D10" s="607"/>
      <c r="E10" s="283"/>
      <c r="M10" s="165"/>
    </row>
    <row r="11" spans="2:4" ht="16.5" customHeight="1">
      <c r="B11" s="608" t="s">
        <v>94</v>
      </c>
      <c r="C11" s="602" t="s">
        <v>87</v>
      </c>
      <c r="D11" s="592" t="s">
        <v>164</v>
      </c>
    </row>
    <row r="12" spans="2:13" s="81" customFormat="1" ht="16.5" customHeight="1">
      <c r="B12" s="609"/>
      <c r="C12" s="603"/>
      <c r="D12" s="593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68">
        <f>SUM(C15:C16)</f>
        <v>1723031.82434</v>
      </c>
      <c r="D14" s="383">
        <f>SUM(D15:D16)</f>
        <v>6476876.62769</v>
      </c>
      <c r="M14" s="166"/>
    </row>
    <row r="15" spans="2:13" s="81" customFormat="1" ht="16.5">
      <c r="B15" s="80" t="s">
        <v>25</v>
      </c>
      <c r="C15" s="469">
        <v>1499142.10488</v>
      </c>
      <c r="D15" s="389">
        <f>ROUND(+C15*$E$9,5)</f>
        <v>5635275.17224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223889.71946</v>
      </c>
      <c r="D16" s="389">
        <f>ROUND(+C16*$E$9,5)</f>
        <v>841601.45545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63</v>
      </c>
      <c r="C18" s="468">
        <f>SUM(C19:C20)</f>
        <v>6975496.537529999</v>
      </c>
      <c r="D18" s="468">
        <f>SUM(D19:D20)</f>
        <v>26220891.484580003</v>
      </c>
      <c r="E18" s="284"/>
      <c r="M18" s="166"/>
    </row>
    <row r="19" spans="2:13" s="81" customFormat="1" ht="16.5">
      <c r="B19" s="80" t="s">
        <v>25</v>
      </c>
      <c r="C19" s="469">
        <f>+C23+C27+C31</f>
        <v>2328797.9405</v>
      </c>
      <c r="D19" s="469">
        <f>+D23+D27+D31</f>
        <v>8753951.45834</v>
      </c>
      <c r="M19" s="166"/>
    </row>
    <row r="20" spans="2:13" s="81" customFormat="1" ht="16.5">
      <c r="B20" s="80" t="s">
        <v>24</v>
      </c>
      <c r="C20" s="469">
        <f>+C24+C28+C32</f>
        <v>4646698.59703</v>
      </c>
      <c r="D20" s="469">
        <f>+D24+D28+D32</f>
        <v>17466940.026240002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176</v>
      </c>
      <c r="C22" s="471">
        <f>SUM(C23:C24)</f>
        <v>6556124.39171</v>
      </c>
      <c r="D22" s="381">
        <f>SUM(D23:D24)</f>
        <v>24644471.58844</v>
      </c>
      <c r="G22" s="284"/>
      <c r="I22" s="286"/>
      <c r="M22" s="166"/>
    </row>
    <row r="23" spans="2:13" s="81" customFormat="1" ht="16.5">
      <c r="B23" s="346" t="s">
        <v>25</v>
      </c>
      <c r="C23" s="470">
        <v>2009865.50221</v>
      </c>
      <c r="D23" s="382">
        <f>ROUND(+C23*$E$9,5)</f>
        <v>7555084.42281</v>
      </c>
      <c r="G23" s="284"/>
      <c r="I23" s="286"/>
      <c r="M23" s="166"/>
    </row>
    <row r="24" spans="2:13" s="81" customFormat="1" ht="16.5">
      <c r="B24" s="346" t="s">
        <v>24</v>
      </c>
      <c r="C24" s="470">
        <v>4546258.8895</v>
      </c>
      <c r="D24" s="382">
        <f>ROUND(+C24*$E$9,5)</f>
        <v>17089387.16563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177</v>
      </c>
      <c r="C26" s="471">
        <f>SUM(C27:C28)</f>
        <v>182592.31117</v>
      </c>
      <c r="D26" s="381">
        <f>SUM(D27:D28)</f>
        <v>686364.49769</v>
      </c>
      <c r="G26" s="287"/>
      <c r="M26" s="166"/>
    </row>
    <row r="27" spans="2:13" s="81" customFormat="1" ht="16.5">
      <c r="B27" s="346" t="s">
        <v>25</v>
      </c>
      <c r="C27" s="470">
        <v>91018.54269</v>
      </c>
      <c r="D27" s="382">
        <f>ROUND(+C27*$E$9,5)</f>
        <v>342138.70197</v>
      </c>
      <c r="M27" s="166"/>
    </row>
    <row r="28" spans="2:13" s="81" customFormat="1" ht="16.5">
      <c r="B28" s="346" t="s">
        <v>24</v>
      </c>
      <c r="C28" s="470">
        <v>91573.76848</v>
      </c>
      <c r="D28" s="382">
        <f>ROUND(+C28*$E$9,5)</f>
        <v>344225.79572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1">
        <f>+SUM(C31:C32)</f>
        <v>236779.83464999998</v>
      </c>
      <c r="D30" s="381">
        <f>SUM(D31:D32)</f>
        <v>890055.3984500001</v>
      </c>
      <c r="M30" s="166"/>
    </row>
    <row r="31" spans="2:13" s="81" customFormat="1" ht="16.5">
      <c r="B31" s="346" t="s">
        <v>25</v>
      </c>
      <c r="C31" s="470">
        <v>227913.8956</v>
      </c>
      <c r="D31" s="382">
        <f>ROUND(+C31*$E$9,5)</f>
        <v>856728.33356</v>
      </c>
      <c r="M31" s="166"/>
    </row>
    <row r="32" spans="2:13" s="81" customFormat="1" ht="16.5">
      <c r="B32" s="346" t="s">
        <v>24</v>
      </c>
      <c r="C32" s="470">
        <v>8865.93905</v>
      </c>
      <c r="D32" s="382">
        <f>ROUND(+C32*$E$9,5)</f>
        <v>33327.06489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605" t="s">
        <v>61</v>
      </c>
      <c r="C34" s="600">
        <f>+C18+C14</f>
        <v>8698528.36187</v>
      </c>
      <c r="D34" s="600">
        <f>+D18+D14</f>
        <v>32697768.112270005</v>
      </c>
      <c r="M34" s="166"/>
    </row>
    <row r="35" spans="2:13" s="81" customFormat="1" ht="15" customHeight="1">
      <c r="B35" s="606"/>
      <c r="C35" s="601"/>
      <c r="D35" s="601"/>
      <c r="M35" s="166"/>
    </row>
    <row r="36" spans="3:6" ht="16.5">
      <c r="C36" s="19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604" t="str">
        <f>+B9</f>
        <v>Al 28 de febrero de 2022</v>
      </c>
      <c r="C44" s="604"/>
      <c r="D44" s="253"/>
      <c r="M44" s="190"/>
    </row>
    <row r="45" spans="2:13" s="65" customFormat="1" ht="9.75" customHeight="1">
      <c r="B45" s="607"/>
      <c r="C45" s="607"/>
      <c r="D45" s="607"/>
      <c r="M45" s="165"/>
    </row>
    <row r="46" spans="2:4" ht="16.5" customHeight="1">
      <c r="B46" s="608" t="s">
        <v>94</v>
      </c>
      <c r="C46" s="602" t="s">
        <v>87</v>
      </c>
      <c r="D46" s="592" t="s">
        <v>164</v>
      </c>
    </row>
    <row r="47" spans="2:13" s="81" customFormat="1" ht="16.5" customHeight="1">
      <c r="B47" s="609"/>
      <c r="C47" s="603"/>
      <c r="D47" s="593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68">
        <f>SUM(C50:C51)</f>
        <v>237195.12396</v>
      </c>
      <c r="D49" s="383">
        <f>SUM(D50:D51)</f>
        <v>891616.47097</v>
      </c>
      <c r="F49" s="349"/>
      <c r="M49" s="166"/>
    </row>
    <row r="50" spans="2:13" s="81" customFormat="1" ht="16.5">
      <c r="B50" s="80" t="s">
        <v>24</v>
      </c>
      <c r="C50" s="469">
        <v>237195.12396</v>
      </c>
      <c r="D50" s="389">
        <f>ROUND(+C50*$E$9,5)</f>
        <v>891616.47097</v>
      </c>
      <c r="F50" s="348"/>
      <c r="M50" s="166"/>
    </row>
    <row r="51" spans="2:13" s="81" customFormat="1" ht="21.75" customHeight="1" hidden="1">
      <c r="B51" s="82" t="s">
        <v>65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63</v>
      </c>
      <c r="C53" s="468">
        <f>SUM(C54:C55)</f>
        <v>358478.7474</v>
      </c>
      <c r="D53" s="468">
        <f>SUM(D54:D55)</f>
        <v>1347521.61148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358478.7474</v>
      </c>
      <c r="D55" s="389">
        <f>+D59</f>
        <v>1347521.61148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176</v>
      </c>
      <c r="C57" s="471">
        <f>SUM(C58:C59)</f>
        <v>358478.7474</v>
      </c>
      <c r="D57" s="471">
        <f>SUM(D58:D59)</f>
        <v>1347521.61148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358478.7474</v>
      </c>
      <c r="D59" s="382">
        <f>ROUND(+C59*$E$9,5)</f>
        <v>1347521.61148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605" t="s">
        <v>61</v>
      </c>
      <c r="C61" s="600">
        <f>+C53+C49</f>
        <v>595673.87136</v>
      </c>
      <c r="D61" s="600">
        <f>+D53+D49</f>
        <v>2239138.08245</v>
      </c>
      <c r="M61" s="166"/>
    </row>
    <row r="62" spans="2:13" s="81" customFormat="1" ht="15" customHeight="1">
      <c r="B62" s="606"/>
      <c r="C62" s="601"/>
      <c r="D62" s="601"/>
      <c r="F62" s="349"/>
      <c r="M62" s="166"/>
    </row>
    <row r="63" ht="12.75">
      <c r="C63" s="515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28 de febrero de 2022</v>
      </c>
      <c r="C9" s="133"/>
      <c r="D9" s="266"/>
      <c r="E9" s="318">
        <f>+Portada!H39</f>
        <v>3.759</v>
      </c>
      <c r="K9" s="190"/>
    </row>
    <row r="10" spans="2:11" ht="9.75" customHeight="1">
      <c r="B10" s="610"/>
      <c r="C10" s="610"/>
      <c r="D10" s="610"/>
      <c r="K10" s="132"/>
    </row>
    <row r="11" spans="2:11" ht="16.5" customHeight="1">
      <c r="B11" s="608" t="s">
        <v>95</v>
      </c>
      <c r="C11" s="602" t="s">
        <v>87</v>
      </c>
      <c r="D11" s="592" t="s">
        <v>214</v>
      </c>
      <c r="K11" s="132"/>
    </row>
    <row r="12" spans="2:11" ht="16.5" customHeight="1">
      <c r="B12" s="609"/>
      <c r="C12" s="603"/>
      <c r="D12" s="593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4870588.31649</v>
      </c>
      <c r="D14" s="381">
        <f>+D16+D20</f>
        <v>18308541.48169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4300000</v>
      </c>
      <c r="D16" s="381">
        <f>SUM(D17:D18)</f>
        <v>16163700</v>
      </c>
      <c r="E16" s="512"/>
      <c r="F16" s="463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11277000</v>
      </c>
      <c r="F17" s="348"/>
      <c r="H17" s="208"/>
      <c r="K17" s="165"/>
    </row>
    <row r="18" spans="2:11" s="65" customFormat="1" ht="16.5" customHeight="1">
      <c r="B18" s="344" t="s">
        <v>231</v>
      </c>
      <c r="C18" s="382">
        <v>1300000</v>
      </c>
      <c r="D18" s="382">
        <f>ROUND(+C18*$E$9,5)</f>
        <v>4886700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570588.31649</v>
      </c>
      <c r="D20" s="381">
        <f>SUM(D21:D26)</f>
        <v>2144841.48169</v>
      </c>
      <c r="E20" s="512"/>
      <c r="F20" s="463"/>
      <c r="H20" s="208"/>
      <c r="K20" s="165"/>
    </row>
    <row r="21" spans="2:11" s="65" customFormat="1" ht="16.5" customHeight="1">
      <c r="B21" s="344" t="s">
        <v>221</v>
      </c>
      <c r="C21" s="382">
        <v>343498.13229</v>
      </c>
      <c r="D21" s="382">
        <f aca="true" t="shared" si="0" ref="D21:D26">ROUND(+C21*$E$9,5)</f>
        <v>1291209.47928</v>
      </c>
      <c r="E21" s="447"/>
      <c r="F21" s="348"/>
      <c r="H21" s="208"/>
      <c r="K21" s="165"/>
    </row>
    <row r="22" spans="2:11" s="65" customFormat="1" ht="16.5" customHeight="1">
      <c r="B22" s="344" t="s">
        <v>182</v>
      </c>
      <c r="C22" s="382">
        <v>163267.68256</v>
      </c>
      <c r="D22" s="382">
        <f t="shared" si="0"/>
        <v>613723.21874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62160.34291</v>
      </c>
      <c r="D23" s="382">
        <f t="shared" si="0"/>
        <v>233660.729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239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1652.19479</v>
      </c>
      <c r="D25" s="382">
        <f t="shared" si="0"/>
        <v>6210.60022</v>
      </c>
      <c r="E25" s="447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9.96394</v>
      </c>
      <c r="D26" s="382">
        <f t="shared" si="0"/>
        <v>37.45445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3827940.045379999</v>
      </c>
      <c r="D28" s="381">
        <f>+D30+D38</f>
        <v>14389226.630583871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2699307.536459999</v>
      </c>
      <c r="D30" s="381">
        <f>SUM(D31:D36)</f>
        <v>10146697.02956</v>
      </c>
      <c r="E30" s="512"/>
      <c r="F30" s="463"/>
      <c r="H30" s="208"/>
    </row>
    <row r="31" spans="2:8" s="65" customFormat="1" ht="16.5" customHeight="1">
      <c r="B31" s="344" t="s">
        <v>219</v>
      </c>
      <c r="C31" s="382">
        <v>2260590.29848</v>
      </c>
      <c r="D31" s="382">
        <f aca="true" t="shared" si="1" ref="D31:D36">ROUND(+C31*$E$9,5)</f>
        <v>8497558.93199</v>
      </c>
      <c r="E31" s="380"/>
      <c r="F31" s="443"/>
      <c r="H31" s="208"/>
    </row>
    <row r="32" spans="2:8" s="65" customFormat="1" ht="16.5" customHeight="1">
      <c r="B32" s="344" t="s">
        <v>180</v>
      </c>
      <c r="C32" s="382">
        <v>173456.59312</v>
      </c>
      <c r="D32" s="382">
        <f t="shared" si="1"/>
        <v>652023.33354</v>
      </c>
      <c r="E32" s="380"/>
      <c r="F32" s="443"/>
      <c r="H32" s="208"/>
    </row>
    <row r="33" spans="2:8" s="65" customFormat="1" ht="16.5" customHeight="1">
      <c r="B33" s="344" t="s">
        <v>233</v>
      </c>
      <c r="C33" s="382">
        <v>153071.90433</v>
      </c>
      <c r="D33" s="382">
        <f t="shared" si="1"/>
        <v>575397.28838</v>
      </c>
      <c r="E33" s="380"/>
      <c r="F33" s="443"/>
      <c r="H33" s="208"/>
    </row>
    <row r="34" spans="2:8" s="65" customFormat="1" ht="16.5" customHeight="1">
      <c r="B34" s="344" t="s">
        <v>186</v>
      </c>
      <c r="C34" s="382">
        <v>81404.62889</v>
      </c>
      <c r="D34" s="382">
        <f t="shared" si="1"/>
        <v>306000</v>
      </c>
      <c r="E34" s="380"/>
      <c r="F34" s="443"/>
      <c r="H34" s="208"/>
    </row>
    <row r="35" spans="2:8" s="65" customFormat="1" ht="16.5" customHeight="1">
      <c r="B35" s="344" t="s">
        <v>234</v>
      </c>
      <c r="C35" s="382">
        <v>25000</v>
      </c>
      <c r="D35" s="382">
        <f t="shared" si="1"/>
        <v>93975</v>
      </c>
      <c r="E35" s="380"/>
      <c r="F35" s="443"/>
      <c r="H35" s="208"/>
    </row>
    <row r="36" spans="2:8" s="65" customFormat="1" ht="16.5" customHeight="1">
      <c r="B36" s="344" t="s">
        <v>179</v>
      </c>
      <c r="C36" s="382">
        <v>5784.11164</v>
      </c>
      <c r="D36" s="382">
        <f t="shared" si="1"/>
        <v>21742.47565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SUM(C39:C44)</f>
        <v>1128632.5089200002</v>
      </c>
      <c r="D38" s="381">
        <f>SUM(D39:D44)</f>
        <v>4242529.6010238705</v>
      </c>
      <c r="E38" s="512"/>
      <c r="F38" s="513"/>
      <c r="H38" s="208"/>
    </row>
    <row r="39" spans="2:8" s="65" customFormat="1" ht="16.5" customHeight="1">
      <c r="B39" s="344" t="s">
        <v>222</v>
      </c>
      <c r="C39" s="382">
        <v>583485.20858</v>
      </c>
      <c r="D39" s="382">
        <f>ROUND(+C39*$E$9,5)</f>
        <v>2193320.89905</v>
      </c>
      <c r="F39" s="349"/>
      <c r="H39" s="208"/>
    </row>
    <row r="40" spans="2:8" s="65" customFormat="1" ht="16.5" customHeight="1">
      <c r="B40" s="344" t="s">
        <v>181</v>
      </c>
      <c r="C40" s="382">
        <v>452159.26222</v>
      </c>
      <c r="D40" s="382">
        <f>ROUND(+C40*$E$9,5)</f>
        <v>1699666.66668</v>
      </c>
      <c r="E40" s="380"/>
      <c r="F40" s="499"/>
      <c r="H40" s="208"/>
    </row>
    <row r="41" spans="2:8" s="65" customFormat="1" ht="16.5" customHeight="1">
      <c r="B41" s="344" t="s">
        <v>188</v>
      </c>
      <c r="C41" s="382">
        <v>45772.91927</v>
      </c>
      <c r="D41" s="382">
        <f>ROUND(+C41*$E$9,8)</f>
        <v>172060.40353593</v>
      </c>
      <c r="E41" s="380"/>
      <c r="F41" s="443"/>
      <c r="H41" s="208"/>
    </row>
    <row r="42" spans="2:8" s="65" customFormat="1" ht="16.5" customHeight="1">
      <c r="B42" s="344" t="s">
        <v>221</v>
      </c>
      <c r="C42" s="382">
        <v>28532.70252</v>
      </c>
      <c r="D42" s="382">
        <f>ROUND(+C42*$E$9,5)</f>
        <v>107254.42877</v>
      </c>
      <c r="E42" s="380"/>
      <c r="F42" s="443"/>
      <c r="H42" s="208"/>
    </row>
    <row r="43" spans="2:8" s="65" customFormat="1" ht="16.5" customHeight="1">
      <c r="B43" s="344" t="s">
        <v>211</v>
      </c>
      <c r="C43" s="382">
        <v>18241.93366</v>
      </c>
      <c r="D43" s="382">
        <f>ROUND(+C43*$E$9,8)</f>
        <v>68571.42862794</v>
      </c>
      <c r="E43" s="380"/>
      <c r="F43" s="443"/>
      <c r="H43" s="208"/>
    </row>
    <row r="44" spans="2:8" s="65" customFormat="1" ht="16.5" customHeight="1">
      <c r="B44" s="344" t="s">
        <v>184</v>
      </c>
      <c r="C44" s="382">
        <v>440.48267</v>
      </c>
      <c r="D44" s="382">
        <f>ROUND(+C44*$E$9,5)</f>
        <v>1655.77436</v>
      </c>
      <c r="E44" s="380"/>
      <c r="F44" s="443"/>
      <c r="H44" s="208"/>
    </row>
    <row r="45" spans="2:8" s="65" customFormat="1" ht="9" customHeight="1">
      <c r="B45" s="64"/>
      <c r="C45" s="382"/>
      <c r="D45" s="382"/>
      <c r="H45" s="208"/>
    </row>
    <row r="46" spans="2:8" s="65" customFormat="1" ht="15" customHeight="1">
      <c r="B46" s="605" t="s">
        <v>61</v>
      </c>
      <c r="C46" s="600">
        <f>+C28+C14</f>
        <v>8698528.361869998</v>
      </c>
      <c r="D46" s="600">
        <f>+D28+D14</f>
        <v>32697768.112273872</v>
      </c>
      <c r="F46" s="349"/>
      <c r="H46" s="208"/>
    </row>
    <row r="47" spans="2:8" s="81" customFormat="1" ht="15" customHeight="1">
      <c r="B47" s="606"/>
      <c r="C47" s="601"/>
      <c r="D47" s="601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255</v>
      </c>
      <c r="C49" s="514"/>
      <c r="D49" s="86"/>
    </row>
    <row r="50" spans="2:4" ht="12.75">
      <c r="B50" s="86" t="s">
        <v>223</v>
      </c>
      <c r="C50" s="459"/>
      <c r="D50" s="86"/>
    </row>
    <row r="51" spans="2:5" ht="14.25">
      <c r="B51" s="86" t="s">
        <v>261</v>
      </c>
      <c r="C51" s="86"/>
      <c r="D51" s="169"/>
      <c r="E51" s="192"/>
    </row>
    <row r="52" spans="2:5" ht="13.5" customHeight="1">
      <c r="B52" s="86" t="s">
        <v>262</v>
      </c>
      <c r="C52" s="86"/>
      <c r="D52" s="86"/>
      <c r="E52" s="192"/>
    </row>
    <row r="53" spans="2:5" ht="12.75">
      <c r="B53" s="455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19" t="s">
        <v>136</v>
      </c>
      <c r="C57" s="319"/>
      <c r="D57" s="319"/>
    </row>
    <row r="58" spans="2:4" ht="18">
      <c r="B58" s="319" t="s">
        <v>137</v>
      </c>
      <c r="C58" s="319"/>
      <c r="D58" s="319"/>
    </row>
    <row r="59" spans="2:4" ht="16.5">
      <c r="B59" s="343" t="s">
        <v>32</v>
      </c>
      <c r="C59" s="184"/>
      <c r="D59" s="184"/>
    </row>
    <row r="60" spans="2:4" s="136" customFormat="1" ht="18">
      <c r="B60" s="133" t="str">
        <f>+B9</f>
        <v>Al 28 de febrero de 2022</v>
      </c>
      <c r="C60" s="133"/>
      <c r="D60" s="253"/>
    </row>
    <row r="61" spans="2:4" ht="9.75" customHeight="1">
      <c r="B61" s="610"/>
      <c r="C61" s="610"/>
      <c r="D61" s="610"/>
    </row>
    <row r="62" spans="2:4" ht="16.5" customHeight="1">
      <c r="B62" s="608" t="s">
        <v>95</v>
      </c>
      <c r="C62" s="602" t="s">
        <v>87</v>
      </c>
      <c r="D62" s="592" t="s">
        <v>214</v>
      </c>
    </row>
    <row r="63" spans="2:4" ht="16.5" customHeight="1">
      <c r="B63" s="609"/>
      <c r="C63" s="603"/>
      <c r="D63" s="593"/>
    </row>
    <row r="64" spans="2:4" s="81" customFormat="1" ht="9.75" customHeight="1">
      <c r="B64" s="256"/>
      <c r="C64" s="104"/>
      <c r="D64" s="104"/>
    </row>
    <row r="65" spans="2:4" s="81" customFormat="1" ht="16.5" customHeight="1">
      <c r="B65" s="351" t="s">
        <v>238</v>
      </c>
      <c r="C65" s="381">
        <f>+C67+C69</f>
        <v>0</v>
      </c>
      <c r="D65" s="381">
        <f>+D67+D69</f>
        <v>0</v>
      </c>
    </row>
    <row r="66" spans="2:4" s="81" customFormat="1" ht="9.75" customHeight="1" hidden="1">
      <c r="B66" s="502"/>
      <c r="C66" s="104"/>
      <c r="D66" s="104"/>
    </row>
    <row r="67" spans="2:4" s="81" customFormat="1" ht="16.5" hidden="1">
      <c r="B67" s="352" t="s">
        <v>33</v>
      </c>
      <c r="C67" s="381">
        <v>0</v>
      </c>
      <c r="D67" s="381">
        <v>0</v>
      </c>
    </row>
    <row r="68" spans="2:4" s="81" customFormat="1" ht="9.75" customHeight="1" hidden="1">
      <c r="B68" s="502"/>
      <c r="C68" s="104"/>
      <c r="D68" s="104"/>
    </row>
    <row r="69" spans="2:4" s="81" customFormat="1" ht="16.5" hidden="1">
      <c r="B69" s="352" t="s">
        <v>34</v>
      </c>
      <c r="C69" s="381">
        <f>SUM(C70:C70)</f>
        <v>0</v>
      </c>
      <c r="D69" s="381">
        <f>SUM(D70:D70)</f>
        <v>0</v>
      </c>
    </row>
    <row r="70" spans="2:4" s="81" customFormat="1" ht="16.5" hidden="1">
      <c r="B70" s="344"/>
      <c r="C70" s="382">
        <v>0</v>
      </c>
      <c r="D70" s="382">
        <f>ROUND(+C70*$E$9,8)</f>
        <v>0</v>
      </c>
    </row>
    <row r="71" spans="2:4" s="81" customFormat="1" ht="12" customHeight="1">
      <c r="B71" s="502"/>
      <c r="C71" s="104"/>
      <c r="D71" s="104"/>
    </row>
    <row r="72" spans="2:6" s="65" customFormat="1" ht="16.5" customHeight="1">
      <c r="B72" s="351" t="s">
        <v>236</v>
      </c>
      <c r="C72" s="381">
        <f>+C74+C79</f>
        <v>595673.87136</v>
      </c>
      <c r="D72" s="381">
        <f>+D74+D79</f>
        <v>2239138.08244224</v>
      </c>
      <c r="F72" s="349"/>
    </row>
    <row r="73" spans="2:8" s="65" customFormat="1" ht="9.75" customHeight="1">
      <c r="B73" s="64"/>
      <c r="C73" s="382"/>
      <c r="D73" s="382"/>
      <c r="H73" s="208"/>
    </row>
    <row r="74" spans="2:8" s="65" customFormat="1" ht="16.5" customHeight="1">
      <c r="B74" s="352" t="s">
        <v>33</v>
      </c>
      <c r="C74" s="381">
        <f>SUM(C75:C77)</f>
        <v>165000</v>
      </c>
      <c r="D74" s="381">
        <f>SUM(D75:D77)</f>
        <v>620235</v>
      </c>
      <c r="F74" s="349"/>
      <c r="G74" s="209"/>
      <c r="H74" s="209"/>
    </row>
    <row r="75" spans="2:8" s="65" customFormat="1" ht="16.5" customHeight="1">
      <c r="B75" s="344" t="s">
        <v>179</v>
      </c>
      <c r="C75" s="382">
        <v>75000</v>
      </c>
      <c r="D75" s="382">
        <f>ROUND(+C75*$E$9,8)</f>
        <v>281925</v>
      </c>
      <c r="F75" s="349"/>
      <c r="G75" s="209"/>
      <c r="H75" s="209"/>
    </row>
    <row r="76" spans="2:8" s="65" customFormat="1" ht="16.5" customHeight="1">
      <c r="B76" s="344" t="s">
        <v>250</v>
      </c>
      <c r="C76" s="382">
        <v>60000</v>
      </c>
      <c r="D76" s="382">
        <f>ROUND(+C76*$E$9,8)</f>
        <v>225540</v>
      </c>
      <c r="F76" s="349"/>
      <c r="G76" s="209"/>
      <c r="H76" s="209"/>
    </row>
    <row r="77" spans="2:8" s="65" customFormat="1" ht="16.5" customHeight="1">
      <c r="B77" s="344" t="s">
        <v>253</v>
      </c>
      <c r="C77" s="382">
        <v>30000</v>
      </c>
      <c r="D77" s="382">
        <f>ROUND(+C77*$E$9,8)</f>
        <v>112770</v>
      </c>
      <c r="F77" s="349"/>
      <c r="G77" s="209"/>
      <c r="H77" s="209"/>
    </row>
    <row r="78" spans="2:4" s="65" customFormat="1" ht="9.75" customHeight="1">
      <c r="B78" s="63"/>
      <c r="C78" s="472"/>
      <c r="D78" s="472"/>
    </row>
    <row r="79" spans="2:8" s="65" customFormat="1" ht="16.5" customHeight="1">
      <c r="B79" s="352" t="s">
        <v>34</v>
      </c>
      <c r="C79" s="381">
        <f>SUM(C80:C87)</f>
        <v>430673.87136000005</v>
      </c>
      <c r="D79" s="381">
        <f>SUM(D80:D87)</f>
        <v>1618903.0824422399</v>
      </c>
      <c r="F79" s="349"/>
      <c r="H79" s="208"/>
    </row>
    <row r="80" spans="2:8" s="65" customFormat="1" ht="16.5" customHeight="1">
      <c r="B80" s="344" t="s">
        <v>157</v>
      </c>
      <c r="C80" s="382">
        <v>215929.29628</v>
      </c>
      <c r="D80" s="382">
        <f>ROUND(+C80*$E$9,8)</f>
        <v>811678.22471652</v>
      </c>
      <c r="E80" s="380"/>
      <c r="F80" s="443"/>
      <c r="H80" s="208"/>
    </row>
    <row r="81" spans="2:8" s="65" customFormat="1" ht="16.5" customHeight="1">
      <c r="B81" s="344" t="s">
        <v>188</v>
      </c>
      <c r="C81" s="382">
        <v>98707.50855</v>
      </c>
      <c r="D81" s="382">
        <f>ROUND(+C81*$E$9,8)</f>
        <v>371041.52463945</v>
      </c>
      <c r="E81" s="380"/>
      <c r="F81" s="443"/>
      <c r="H81" s="208"/>
    </row>
    <row r="82" spans="2:8" s="65" customFormat="1" ht="16.5" customHeight="1">
      <c r="B82" s="344" t="s">
        <v>187</v>
      </c>
      <c r="C82" s="382">
        <v>50767.04791</v>
      </c>
      <c r="D82" s="382">
        <f>ROUND(+C82*$E$9,8)</f>
        <v>190833.33309369</v>
      </c>
      <c r="E82" s="380"/>
      <c r="F82" s="443"/>
      <c r="H82" s="208"/>
    </row>
    <row r="83" spans="2:8" s="65" customFormat="1" ht="16.5" customHeight="1">
      <c r="B83" s="344" t="s">
        <v>248</v>
      </c>
      <c r="C83" s="382">
        <v>30000</v>
      </c>
      <c r="D83" s="382">
        <f>ROUND(+C83*$E$9,8)</f>
        <v>112770</v>
      </c>
      <c r="E83" s="380"/>
      <c r="F83" s="443"/>
      <c r="H83" s="208"/>
    </row>
    <row r="84" spans="2:8" s="65" customFormat="1" ht="16.5" customHeight="1">
      <c r="B84" s="344" t="s">
        <v>184</v>
      </c>
      <c r="C84" s="382">
        <v>20000</v>
      </c>
      <c r="D84" s="382">
        <f>ROUND(+C84*$E$9,8)</f>
        <v>75180</v>
      </c>
      <c r="E84" s="380"/>
      <c r="F84" s="443"/>
      <c r="H84" s="208"/>
    </row>
    <row r="85" spans="2:8" s="65" customFormat="1" ht="16.5" customHeight="1">
      <c r="B85" s="344" t="s">
        <v>257</v>
      </c>
      <c r="C85" s="382">
        <v>11279.59564</v>
      </c>
      <c r="D85" s="382">
        <f>ROUND(+C85*$E$9,8)</f>
        <v>42400.00001076</v>
      </c>
      <c r="E85" s="519"/>
      <c r="F85" s="443"/>
      <c r="H85" s="208"/>
    </row>
    <row r="86" spans="2:8" s="65" customFormat="1" ht="16.5" customHeight="1">
      <c r="B86" s="344" t="s">
        <v>185</v>
      </c>
      <c r="C86" s="382">
        <v>3990.42298</v>
      </c>
      <c r="D86" s="382">
        <f>ROUND(+C86*$E$9,8)</f>
        <v>14999.99998182</v>
      </c>
      <c r="E86" s="519"/>
      <c r="F86" s="443"/>
      <c r="H86" s="208"/>
    </row>
    <row r="87" spans="2:8" s="65" customFormat="1" ht="16.5" customHeight="1" hidden="1">
      <c r="B87" s="344" t="s">
        <v>0</v>
      </c>
      <c r="C87" s="382">
        <v>0</v>
      </c>
      <c r="D87" s="382">
        <f>ROUND(+C87*$E$9,8)</f>
        <v>0</v>
      </c>
      <c r="E87" s="519"/>
      <c r="F87" s="443"/>
      <c r="H87" s="208"/>
    </row>
    <row r="88" spans="2:8" s="65" customFormat="1" ht="9" customHeight="1">
      <c r="B88" s="64"/>
      <c r="C88" s="382"/>
      <c r="D88" s="382"/>
      <c r="H88" s="208"/>
    </row>
    <row r="89" spans="2:8" s="65" customFormat="1" ht="15" customHeight="1">
      <c r="B89" s="611" t="s">
        <v>61</v>
      </c>
      <c r="C89" s="600">
        <f>+C65+C72</f>
        <v>595673.87136</v>
      </c>
      <c r="D89" s="600">
        <f>+D65+D72</f>
        <v>2239138.08244224</v>
      </c>
      <c r="F89" s="349"/>
      <c r="H89" s="208"/>
    </row>
    <row r="90" spans="2:8" s="81" customFormat="1" ht="15" customHeight="1">
      <c r="B90" s="612"/>
      <c r="C90" s="601"/>
      <c r="D90" s="601"/>
      <c r="F90" s="216"/>
      <c r="H90" s="208"/>
    </row>
    <row r="91" ht="12.75">
      <c r="C91" s="192"/>
    </row>
    <row r="92" spans="3:4" ht="12.75">
      <c r="C92" s="102"/>
      <c r="D92" s="288"/>
    </row>
    <row r="93" spans="3:4" ht="12.75">
      <c r="C93" s="290"/>
      <c r="D93" s="290"/>
    </row>
    <row r="94" ht="12.75">
      <c r="C94" s="434"/>
    </row>
    <row r="95" ht="12.75">
      <c r="C95" s="434"/>
    </row>
    <row r="96" ht="12.75">
      <c r="C96" s="434"/>
    </row>
    <row r="97" ht="12.75">
      <c r="C97" s="434"/>
    </row>
    <row r="98" ht="12.75">
      <c r="C98" s="434"/>
    </row>
    <row r="99" ht="12.75">
      <c r="C99" s="434"/>
    </row>
    <row r="100" ht="12.75">
      <c r="C100" s="434"/>
    </row>
  </sheetData>
  <sheetProtection/>
  <mergeCells count="14">
    <mergeCell ref="D62:D63"/>
    <mergeCell ref="B11:B12"/>
    <mergeCell ref="D46:D47"/>
    <mergeCell ref="C11:C12"/>
    <mergeCell ref="B10:D10"/>
    <mergeCell ref="B89:B90"/>
    <mergeCell ref="C89:C90"/>
    <mergeCell ref="D89:D90"/>
    <mergeCell ref="B61:D61"/>
    <mergeCell ref="B62:B63"/>
    <mergeCell ref="D11:D12"/>
    <mergeCell ref="C46:C47"/>
    <mergeCell ref="B46:B47"/>
    <mergeCell ref="C62:C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1:D4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28 de febrero de 2022</v>
      </c>
      <c r="C9" s="133"/>
      <c r="D9" s="266"/>
      <c r="E9" s="318">
        <f>+Portada!H39</f>
        <v>3.759</v>
      </c>
    </row>
    <row r="10" spans="2:4" ht="9.75" customHeight="1">
      <c r="B10" s="610"/>
      <c r="C10" s="610"/>
      <c r="D10" s="610"/>
    </row>
    <row r="11" spans="2:4" ht="16.5" customHeight="1">
      <c r="B11" s="596" t="s">
        <v>150</v>
      </c>
      <c r="C11" s="592" t="s">
        <v>87</v>
      </c>
      <c r="D11" s="615" t="s">
        <v>164</v>
      </c>
    </row>
    <row r="12" spans="2:8" s="81" customFormat="1" ht="16.5" customHeight="1">
      <c r="B12" s="597"/>
      <c r="C12" s="593"/>
      <c r="D12" s="616"/>
      <c r="H12" s="206"/>
    </row>
    <row r="13" spans="2:8" s="81" customFormat="1" ht="9.75" customHeight="1">
      <c r="B13" s="254"/>
      <c r="C13" s="507"/>
      <c r="D13" s="138"/>
      <c r="H13" s="206"/>
    </row>
    <row r="14" spans="2:9" s="65" customFormat="1" ht="16.5" customHeight="1">
      <c r="B14" s="362" t="s">
        <v>0</v>
      </c>
      <c r="C14" s="508">
        <f>SUM(C15:C16)</f>
        <v>4336120.62608</v>
      </c>
      <c r="D14" s="471">
        <f>SUM(D15:D16)</f>
        <v>16299477.4334347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9">
        <v>508180.5807</v>
      </c>
      <c r="D15" s="470">
        <f>ROUND(+C15*$E$9,8)</f>
        <v>1910250.8028513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9">
        <v>3827940.04538</v>
      </c>
      <c r="D16" s="470">
        <f>ROUND(+C16*$E$9,8)</f>
        <v>14389226.6305834</v>
      </c>
      <c r="E16" s="457"/>
      <c r="F16" s="348"/>
      <c r="G16" s="291"/>
      <c r="H16" s="291"/>
    </row>
    <row r="17" spans="2:8" s="65" customFormat="1" ht="12" customHeight="1">
      <c r="B17" s="69"/>
      <c r="C17" s="509"/>
      <c r="D17" s="470"/>
      <c r="E17" s="456"/>
      <c r="H17" s="210"/>
    </row>
    <row r="18" spans="2:8" s="65" customFormat="1" ht="16.5" customHeight="1">
      <c r="B18" s="362" t="s">
        <v>189</v>
      </c>
      <c r="C18" s="508">
        <f>SUM(C19:C19)</f>
        <v>62407.73579</v>
      </c>
      <c r="D18" s="471">
        <f>SUM(D19:D19)</f>
        <v>234590.67883461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9">
        <v>62407.73579</v>
      </c>
      <c r="D19" s="470">
        <f>ROUND(+C19*$E$9,8)</f>
        <v>234590.67883461</v>
      </c>
      <c r="E19" s="457"/>
      <c r="F19" s="348"/>
      <c r="H19" s="210"/>
    </row>
    <row r="20" spans="2:8" s="65" customFormat="1" ht="11.25" customHeight="1">
      <c r="B20" s="69"/>
      <c r="C20" s="509"/>
      <c r="D20" s="470"/>
      <c r="E20" s="456"/>
      <c r="H20" s="210"/>
    </row>
    <row r="21" spans="2:8" s="65" customFormat="1" ht="16.5" customHeight="1">
      <c r="B21" s="362" t="s">
        <v>190</v>
      </c>
      <c r="C21" s="508">
        <f>+C22</f>
        <v>4300000</v>
      </c>
      <c r="D21" s="471">
        <f>+D22</f>
        <v>16163700</v>
      </c>
      <c r="E21" s="456"/>
      <c r="F21" s="349"/>
      <c r="H21" s="210"/>
    </row>
    <row r="22" spans="2:8" s="65" customFormat="1" ht="16.5" customHeight="1">
      <c r="B22" s="69" t="s">
        <v>24</v>
      </c>
      <c r="C22" s="509">
        <v>4300000</v>
      </c>
      <c r="D22" s="470">
        <f>ROUND(+C22*$E$9,8)</f>
        <v>16163700</v>
      </c>
      <c r="E22" s="457"/>
      <c r="F22" s="348"/>
      <c r="H22" s="210"/>
    </row>
    <row r="23" spans="2:8" s="65" customFormat="1" ht="9.75" customHeight="1">
      <c r="B23" s="68"/>
      <c r="C23" s="510"/>
      <c r="D23" s="469"/>
      <c r="F23" s="348"/>
      <c r="H23" s="210"/>
    </row>
    <row r="24" spans="2:8" s="65" customFormat="1" ht="15" customHeight="1">
      <c r="B24" s="605" t="s">
        <v>61</v>
      </c>
      <c r="C24" s="613">
        <f>+C18+C14+C21</f>
        <v>8698528.36187</v>
      </c>
      <c r="D24" s="617">
        <f>+D18+D14+D21</f>
        <v>32697768.112269312</v>
      </c>
      <c r="F24" s="349"/>
      <c r="H24" s="210"/>
    </row>
    <row r="25" spans="2:8" s="81" customFormat="1" ht="15" customHeight="1">
      <c r="B25" s="606"/>
      <c r="C25" s="614"/>
      <c r="D25" s="618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191</v>
      </c>
      <c r="C27" s="516"/>
      <c r="D27" s="452"/>
      <c r="H27" s="210"/>
    </row>
    <row r="28" spans="2:8" s="65" customFormat="1" ht="17.25" customHeight="1">
      <c r="B28" s="452" t="s">
        <v>192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28 de febrero de 2022</v>
      </c>
      <c r="C37" s="133"/>
      <c r="D37" s="253"/>
      <c r="H37" s="220"/>
    </row>
    <row r="38" spans="2:4" ht="9.75" customHeight="1">
      <c r="B38" s="610"/>
      <c r="C38" s="610"/>
      <c r="D38" s="610"/>
    </row>
    <row r="39" spans="2:4" ht="16.5" customHeight="1">
      <c r="B39" s="596" t="s">
        <v>150</v>
      </c>
      <c r="C39" s="592" t="s">
        <v>87</v>
      </c>
      <c r="D39" s="592" t="s">
        <v>164</v>
      </c>
    </row>
    <row r="40" spans="2:8" s="81" customFormat="1" ht="16.5" customHeight="1">
      <c r="B40" s="597"/>
      <c r="C40" s="593"/>
      <c r="D40" s="593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157825.61079</v>
      </c>
      <c r="D42" s="471">
        <f>SUM(D43:D44)</f>
        <v>593266.47095961</v>
      </c>
      <c r="E42" s="219"/>
      <c r="H42" s="210"/>
    </row>
    <row r="43" spans="2:8" s="65" customFormat="1" ht="16.5" customHeight="1">
      <c r="B43" s="69" t="s">
        <v>24</v>
      </c>
      <c r="C43" s="382">
        <v>157825.61079</v>
      </c>
      <c r="D43" s="470">
        <f>ROUND(+C43*$E$9,8)</f>
        <v>593266.47095961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159</v>
      </c>
      <c r="C46" s="381">
        <f>+C47</f>
        <v>437848.26057</v>
      </c>
      <c r="D46" s="471">
        <f>+D47</f>
        <v>1645871.61148263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437848.26057</v>
      </c>
      <c r="D47" s="470">
        <f>ROUND(+C47*$E$9,8)</f>
        <v>1645871.61148263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605" t="s">
        <v>61</v>
      </c>
      <c r="C49" s="600">
        <f>+C42+C46</f>
        <v>595673.87136</v>
      </c>
      <c r="D49" s="617">
        <f>+D42+D46</f>
        <v>2239138.08244224</v>
      </c>
      <c r="H49" s="210"/>
    </row>
    <row r="50" spans="2:8" s="81" customFormat="1" ht="15" customHeight="1">
      <c r="B50" s="606"/>
      <c r="C50" s="601"/>
      <c r="D50" s="618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2022-04-04T19:05:02Z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