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'DEP-C1'!$A$1:$AK$49</definedName>
    <definedName name="_xlnm.Print_Area" localSheetId="5">'DEP-C2'!$B$1:$D$47</definedName>
    <definedName name="_xlnm.Print_Area" localSheetId="6">'DEP-C3'!$B$5:$D$62</definedName>
    <definedName name="_xlnm.Print_Area" localSheetId="7">'DEP-C4'!$B$1:$D$88</definedName>
    <definedName name="_xlnm.Print_Area" localSheetId="8">'DEP-C5'!$B$1:$D$51</definedName>
    <definedName name="_xlnm.Print_Area" localSheetId="9">'DEP-C6'!$B$1:$E$79</definedName>
    <definedName name="_xlnm.Print_Area" localSheetId="10">'DEP-C7'!$B$1:$E$89</definedName>
    <definedName name="_xlnm.Print_Area" localSheetId="11">'DEP-C8'!$B$1:$D$127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<sst xmlns="http://schemas.openxmlformats.org/spreadsheetml/2006/main" count="615" uniqueCount="263">
  <si>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</si>
  <si>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</si>
  <si>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</si>
  <si>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</si>
  <si>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</si>
  <si>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</si>
  <si>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</si>
  <si>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</si>
  <si>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</si>
  <si>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</si>
  <si>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</si>
  <si>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</si>
  <si>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</si>
  <si>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</si>
  <si>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</si>
  <si>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</si>
  <si>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</si>
  <si>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</si>
  <si>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</si>
  <si>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</si>
  <si>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</si>
  <si>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</si>
  <si>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</si>
  <si>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</si>
  <si>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</si>
  <si>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</si>
  <si>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</si>
  <si>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</si>
  <si>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</si>
  <si>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</si>
  <si>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</si>
  <si>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</si>
  <si>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</si>
  <si>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</si>
  <si>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</si>
  <si>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</si>
  <si>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</si>
  <si>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</si>
  <si>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</si>
  <si>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</si>
  <si>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</si>
  <si>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</si>
  <si>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</si>
  <si>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</si>
  <si>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</si>
  <si>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</si>
  <si>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</si>
  <si>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</si>
  <si>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</si>
  <si>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</si>
  <si>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</si>
  <si>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</si>
  <si>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</si>
  <si>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</si>
  <si>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</si>
  <si>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</si>
  <si>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</si>
  <si>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</si>
  <si>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</si>
  <si>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</si>
  <si>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</si>
  <si>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</si>
  <si>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</si>
  <si>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</si>
  <si>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</si>
  <si>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</si>
  <si>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</si>
  <si>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</si>
  <si>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</si>
  <si>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</si>
  <si>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</si>
  <si>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</si>
  <si>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</si>
  <si>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</si>
  <si>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</si>
  <si>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</si>
  <si>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</si>
  <si>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</si>
  <si>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</si>
  <si>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</si>
  <si>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</si>
  <si>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</si>
  <si>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</si>
  <si>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</si>
  <si>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</si>
  <si>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</si>
  <si>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</si>
  <si>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</si>
  <si>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</si>
  <si>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</si>
  <si>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</si>
  <si>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</si>
  <si>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</si>
  <si>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</si>
  <si>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</si>
  <si>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</si>
  <si>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</si>
  <si>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</si>
  <si>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</si>
  <si>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</si>
  <si>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</si>
  <si>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</si>
  <si>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</si>
  <si>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</si>
  <si>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</si>
  <si>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</si>
  <si>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</si>
  <si>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</si>
  <si>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</si>
  <si>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</si>
  <si>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</si>
  <si>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</si>
  <si>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</si>
  <si>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</si>
  <si>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</si>
  <si>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</si>
  <si>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</si>
  <si>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</si>
  <si>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</si>
  <si>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</si>
  <si>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</si>
  <si>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</si>
  <si>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</si>
  <si>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</si>
  <si>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</si>
  <si>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</si>
  <si>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</si>
  <si>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</si>
  <si>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</si>
  <si>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</si>
  <si>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</si>
  <si>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</si>
  <si>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</si>
  <si>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</si>
  <si>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</si>
  <si>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</si>
  <si>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</si>
  <si>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</si>
  <si>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</si>
  <si>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</si>
  <si>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</si>
  <si>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</si>
  <si>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</si>
  <si>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</si>
  <si>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</si>
  <si>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</si>
  <si>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</si>
  <si>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</si>
  <si>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</si>
  <si>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</si>
  <si>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</si>
  <si>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</si>
  <si>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</si>
  <si>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</si>
  <si>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</si>
  <si>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</si>
  <si>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</si>
  <si>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</si>
  <si>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</si>
  <si>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</si>
  <si>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</si>
  <si>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</si>
  <si>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</si>
  <si>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</si>
  <si>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</si>
  <si>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</si>
  <si>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</si>
  <si>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</si>
  <si>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</si>
  <si>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</si>
  <si>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</si>
  <si>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</si>
  <si>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</si>
  <si>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</si>
  <si>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</si>
  <si>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</si>
  <si>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</si>
  <si>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</si>
  <si>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</si>
  <si>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</si>
  <si>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</si>
  <si>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</si>
  <si>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</si>
  <si>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</si>
  <si>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</si>
  <si>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</si>
  <si>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</si>
  <si>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</si>
  <si>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</si>
  <si>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</si>
  <si>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</si>
  <si>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</si>
  <si>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</si>
  <si>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</si>
  <si>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</si>
  <si>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</si>
  <si>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</si>
  <si>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</si>
  <si>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</si>
  <si>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</si>
  <si>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</si>
  <si>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</si>
  <si>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</si>
  <si>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</si>
  <si>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</si>
  <si>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</si>
  <si>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</si>
  <si>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</si>
  <si>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</si>
  <si>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</si>
  <si>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</si>
  <si>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</si>
  <si>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</si>
  <si>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</si>
  <si>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</si>
  <si>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</si>
  <si>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</si>
  <si>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</si>
  <si>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</si>
  <si>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</si>
  <si>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</si>
  <si>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</si>
  <si>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</si>
  <si>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</si>
  <si>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</si>
  <si>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</si>
  <si>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</si>
  <si>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</si>
  <si>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</si>
  <si>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</si>
  <si>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</si>
  <si>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</si>
  <si>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</si>
  <si>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</si>
  <si>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</si>
  <si>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</si>
  <si>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</si>
  <si>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</si>
  <si>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</si>
  <si>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</si>
  <si>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</si>
  <si>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</si>
  <si>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Servicios Postales del Peru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</si>
  <si>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</si>
  <si>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</si>
  <si>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</si>
  <si>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</si>
  <si>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</si>
  <si>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</si>
  <si>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</si>
  <si>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</si>
  <si>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</si>
  <si>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Paribas</t>
  </si>
  <si>
    <t>Itaú Corpbanca New York Branch</t>
  </si>
  <si>
    <t>Citibank</t>
  </si>
  <si>
    <t>PARIBAS</t>
  </si>
  <si>
    <t>Itau Corpbanca New York Branch</t>
  </si>
  <si>
    <t>SIMA IQUITOS S.R.L.</t>
  </si>
  <si>
    <t>AL 31 DE JULIO 2021</t>
  </si>
  <si>
    <t>Al 31 de julio de 2021</t>
  </si>
  <si>
    <t>Período: De 2009 al 31 de julio de 2021</t>
  </si>
  <si>
    <t xml:space="preserve"> 3/  Incluye: Bonos COFIDE por US$ 1 347,8 millones y Bonos Fondo MIVIVIENDA por US$ 1 020,9 millones.</t>
  </si>
  <si>
    <t xml:space="preserve"> 4/  Incluye: Bonos COFIDE por US$ 342,2 millones y Bonos Fondo MIVIVIENDA por US$ 197,9 millones.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</si>
</sst>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41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3" xfId="331" applyNumberFormat="1" applyFont="1" applyFill="1" applyBorder="1" applyAlignment="1">
      <alignment horizontal="right" vertical="center" indent="2"/>
      <protection/>
    </xf>
    <xf numFmtId="173" fontId="0" fillId="48" borderId="43" xfId="350" applyNumberFormat="1" applyFont="1" applyFill="1" applyBorder="1" applyAlignment="1">
      <alignment horizontal="right" vertical="center" indent="1"/>
    </xf>
    <xf numFmtId="173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3" xfId="350" applyNumberFormat="1" applyFont="1" applyFill="1" applyBorder="1" applyAlignment="1">
      <alignment horizontal="left" vertical="center" indent="2"/>
    </xf>
    <xf numFmtId="173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7" fontId="33" fillId="47" borderId="43" xfId="300" applyNumberFormat="1" applyFont="1" applyFill="1" applyBorder="1" applyAlignment="1">
      <alignment horizontal="right" vertical="center" wrapText="1" inden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8" xfId="0" applyFont="1" applyFill="1" applyBorder="1" applyAlignment="1">
      <alignment horizontal="center" vertical="center" wrapText="1"/>
    </xf>
    <xf numFmtId="3" fontId="11" fillId="48" borderId="58" xfId="300" applyNumberFormat="1" applyFont="1" applyFill="1" applyBorder="1" applyAlignment="1">
      <alignment horizontal="right" vertical="center" indent="1"/>
    </xf>
    <xf numFmtId="3" fontId="8" fillId="48" borderId="58" xfId="300" applyNumberFormat="1" applyFont="1" applyFill="1" applyBorder="1" applyAlignment="1">
      <alignment horizontal="right" vertical="center" indent="1"/>
    </xf>
    <xf numFmtId="3" fontId="33" fillId="48" borderId="58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22" fontId="0" fillId="48" borderId="0" xfId="300" applyNumberFormat="1" applyFont="1" applyFill="1" applyAlignment="1">
      <alignment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1" xfId="323" applyNumberFormat="1" applyFont="1" applyFill="1" applyBorder="1">
      <alignment/>
      <protection/>
    </xf>
    <xf numFmtId="223" fontId="8" fillId="47" borderId="51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57" xfId="323" applyFont="1" applyFill="1" applyBorder="1" applyAlignment="1">
      <alignment horizontal="center" vertical="center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1" xfId="300" applyNumberFormat="1" applyFont="1" applyFill="1" applyBorder="1" applyAlignment="1">
      <alignment horizontal="right" vertical="center" indent="1"/>
    </xf>
    <xf numFmtId="3" fontId="6" fillId="48" borderId="72" xfId="300" applyNumberFormat="1" applyFont="1" applyFill="1" applyBorder="1" applyAlignment="1">
      <alignment horizontal="right" vertical="center" indent="1"/>
    </xf>
    <xf numFmtId="0" fontId="11" fillId="48" borderId="73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0" fontId="0" fillId="0" borderId="0" xfId="0" applyFont="1" applyAlignment="1">
      <alignment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7128.95570324</c:v>
                </c:pt>
                <c:pt idx="1">
                  <c:v>1829.166610660001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3819.3765157900016</c:v>
                </c:pt>
                <c:pt idx="1">
                  <c:v>5138.74579811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8715.171186500002</c:v>
                </c:pt>
                <c:pt idx="1">
                  <c:v>242.9511273999998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3049.3002485999996</c:v>
                </c:pt>
                <c:pt idx="1">
                  <c:v>5908.8220653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5908.8220653</c:v>
                </c:pt>
                <c:pt idx="1">
                  <c:v>1622.2207332700002</c:v>
                </c:pt>
                <c:pt idx="2">
                  <c:v>567.16716481</c:v>
                </c:pt>
                <c:pt idx="3">
                  <c:v>391.6212156799996</c:v>
                </c:pt>
                <c:pt idx="4">
                  <c:v>468.29113484000004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6699.931978669999</c:v>
                </c:pt>
                <c:pt idx="1">
                  <c:v>1793.3651082000008</c:v>
                </c:pt>
                <c:pt idx="2">
                  <c:v>205.19101752000003</c:v>
                </c:pt>
                <c:pt idx="3">
                  <c:v>259.63420950999995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75"/>
          <c:y val="0.13025"/>
          <c:w val="0.7887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'DEP-C1'!$C$15:$AK$15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'DEP-C1'!$C$16:$AK$16</c:f>
              <c:numCache/>
            </c:numRef>
          </c:val>
        </c:ser>
        <c:axId val="45612316"/>
        <c:axId val="7857661"/>
      </c:bar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2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hyperlink" Target="#Reporte_Deuda_Empresas_SG_31072021.xls#Indice!B6" /><Relationship Id="rId9" Type="http://schemas.openxmlformats.org/officeDocument/2006/relationships/hyperlink" Target="#Reporte_Deuda_Empresas_SG_31072021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jpeg" /><Relationship Id="rId1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jpeg" /><Relationship Id="rId3" Type="http://schemas.openxmlformats.org/officeDocument/2006/relationships/hyperlink" Target="#Reporte_Deuda_Empresas_SG_31072021.xls#Indice!B6" /><Relationship Id="rId4" Type="http://schemas.openxmlformats.org/officeDocument/2006/relationships/hyperlink" Target="#Reporte_Deuda_Empresas_SG_31072021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072021.xls#Indice!B6" /><Relationship Id="rId3" Type="http://schemas.openxmlformats.org/officeDocument/2006/relationships/hyperlink" Target="#Reporte_Deuda_Empresas_SG_31072021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66675</xdr:rowOff>
    </xdr:from>
    <xdr:to>
      <xdr:col>10</xdr:col>
      <xdr:colOff>238125</xdr:colOff>
      <xdr:row>4</xdr:row>
      <xdr:rowOff>95250</xdr:rowOff>
    </xdr:to>
    <xdr:pic>
      <xdr:nvPicPr>
        <xdr:cNvPr id="2" name="Imagen 4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66675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66675</xdr:rowOff>
    </xdr:from>
    <xdr:to>
      <xdr:col>7</xdr:col>
      <xdr:colOff>342900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666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57150</xdr:rowOff>
    </xdr:from>
    <xdr:to>
      <xdr:col>9</xdr:col>
      <xdr:colOff>647700</xdr:colOff>
      <xdr:row>5</xdr:row>
      <xdr:rowOff>28575</xdr:rowOff>
    </xdr:to>
    <xdr:pic>
      <xdr:nvPicPr>
        <xdr:cNvPr id="3" name="Imagen 4" descr="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57150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7</xdr:col>
      <xdr:colOff>47625</xdr:colOff>
      <xdr:row>4</xdr:row>
      <xdr:rowOff>123825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71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47625</xdr:rowOff>
    </xdr:from>
    <xdr:to>
      <xdr:col>6</xdr:col>
      <xdr:colOff>1533525</xdr:colOff>
      <xdr:row>3</xdr:row>
      <xdr:rowOff>123825</xdr:rowOff>
    </xdr:to>
    <xdr:pic>
      <xdr:nvPicPr>
        <xdr:cNvPr id="3" name="Imagen 3" descr="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476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0</xdr:row>
      <xdr:rowOff>57150</xdr:rowOff>
    </xdr:from>
    <xdr:to>
      <xdr:col>10</xdr:col>
      <xdr:colOff>0</xdr:colOff>
      <xdr:row>3</xdr:row>
      <xdr:rowOff>200025</xdr:rowOff>
    </xdr:to>
    <xdr:pic>
      <xdr:nvPicPr>
        <xdr:cNvPr id="4" name="Imagen 4" descr="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5715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66675</xdr:rowOff>
    </xdr:from>
    <xdr:to>
      <xdr:col>8</xdr:col>
      <xdr:colOff>666750</xdr:colOff>
      <xdr:row>3</xdr:row>
      <xdr:rowOff>171450</xdr:rowOff>
    </xdr:to>
    <xdr:pic>
      <xdr:nvPicPr>
        <xdr:cNvPr id="9" name="Imagen 4" descr="image0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81925" y="66675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1333500</xdr:colOff>
      <xdr:row>3</xdr:row>
      <xdr:rowOff>142875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00800" y="666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27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534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30" t="str">
        <f>+Portada!$B$6</f>
        <v>DEUDA DE LAS EMPRESAS PÚBLICAS</v>
      </c>
      <c r="C6" s="530"/>
      <c r="D6" s="530"/>
      <c r="E6" s="530"/>
      <c r="F6" s="530"/>
      <c r="G6" s="530"/>
    </row>
    <row r="7" spans="2:7" s="4" customFormat="1" ht="24.75" customHeight="1">
      <c r="B7" s="531" t="s">
        <v>258</v>
      </c>
      <c r="C7" s="531"/>
      <c r="D7" s="531"/>
      <c r="E7" s="531"/>
      <c r="F7" s="531"/>
      <c r="G7" s="531"/>
    </row>
    <row r="8" spans="2:5" s="4" customFormat="1" ht="15.75" customHeight="1">
      <c r="B8" s="249"/>
      <c r="C8" s="249"/>
      <c r="D8" s="507"/>
      <c r="E8" s="130"/>
    </row>
    <row r="9" spans="2:5" ht="19.5" customHeight="1">
      <c r="B9" s="86"/>
      <c r="C9" s="86"/>
      <c r="D9" s="408" t="s">
        <v>67</v>
      </c>
      <c r="E9" s="86"/>
    </row>
    <row r="10" spans="2:5" s="7" customFormat="1" ht="19.5" customHeight="1">
      <c r="B10" s="183"/>
      <c r="C10" s="183"/>
      <c r="D10" s="408" t="s">
        <v>174</v>
      </c>
      <c r="E10" s="71"/>
    </row>
    <row r="11" spans="2:5" s="7" customFormat="1" ht="19.5" customHeight="1">
      <c r="B11" s="184"/>
      <c r="C11" s="183"/>
      <c r="D11" s="408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29" t="s">
        <v>216</v>
      </c>
      <c r="E13" s="529"/>
      <c r="F13" s="529"/>
      <c r="G13" s="529"/>
      <c r="H13" s="529"/>
    </row>
    <row r="14" spans="2:6" s="7" customFormat="1" ht="19.5" customHeight="1">
      <c r="B14" s="183" t="s">
        <v>12</v>
      </c>
      <c r="C14" s="183" t="s">
        <v>8</v>
      </c>
      <c r="D14" s="529" t="s">
        <v>153</v>
      </c>
      <c r="E14" s="529"/>
      <c r="F14" s="529"/>
    </row>
    <row r="15" spans="2:6" s="7" customFormat="1" ht="19.5" customHeight="1">
      <c r="B15" s="183" t="s">
        <v>13</v>
      </c>
      <c r="C15" s="183" t="s">
        <v>8</v>
      </c>
      <c r="D15" s="532" t="s">
        <v>37</v>
      </c>
      <c r="E15" s="532"/>
      <c r="F15" s="532"/>
    </row>
    <row r="16" spans="2:6" s="7" customFormat="1" ht="19.5" customHeight="1">
      <c r="B16" s="183" t="s">
        <v>14</v>
      </c>
      <c r="C16" s="183" t="s">
        <v>8</v>
      </c>
      <c r="D16" s="532" t="s">
        <v>32</v>
      </c>
      <c r="E16" s="532"/>
      <c r="F16" s="532"/>
    </row>
    <row r="17" spans="2:6" s="7" customFormat="1" ht="19.5" customHeight="1">
      <c r="B17" s="183" t="s">
        <v>91</v>
      </c>
      <c r="C17" s="183" t="s">
        <v>8</v>
      </c>
      <c r="D17" s="532" t="s">
        <v>1</v>
      </c>
      <c r="E17" s="532"/>
      <c r="F17" s="532"/>
    </row>
    <row r="18" spans="2:6" s="7" customFormat="1" ht="19.5" customHeight="1">
      <c r="B18" s="183" t="s">
        <v>60</v>
      </c>
      <c r="C18" s="183" t="s">
        <v>8</v>
      </c>
      <c r="D18" s="532" t="s">
        <v>58</v>
      </c>
      <c r="E18" s="532"/>
      <c r="F18" s="532"/>
    </row>
    <row r="19" spans="2:6" s="7" customFormat="1" ht="19.5" customHeight="1">
      <c r="B19" s="183" t="s">
        <v>15</v>
      </c>
      <c r="C19" s="183" t="s">
        <v>8</v>
      </c>
      <c r="D19" s="532" t="s">
        <v>105</v>
      </c>
      <c r="E19" s="532"/>
      <c r="F19" s="532"/>
    </row>
    <row r="20" spans="2:6" s="7" customFormat="1" ht="19.5" customHeight="1">
      <c r="B20" s="183" t="s">
        <v>16</v>
      </c>
      <c r="C20" s="183" t="s">
        <v>8</v>
      </c>
      <c r="D20" s="532" t="s">
        <v>59</v>
      </c>
      <c r="E20" s="532"/>
      <c r="F20" s="532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72021.xls#Resumen!B5" display="CUADROS RESUMEN"/>
    <hyperlink ref="D11" location="Reporte_Deuda_Empresas_SG_31072021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72021.xls#Portada!B6" display="PORTADA"/>
    <hyperlink ref="D19" location="'Grupo Acreedor'!A1" display="POR GRUPO DEL ACREEDOR"/>
    <hyperlink ref="D14:F14" location="Reporte_Deuda_Empresas_SG_31072021.xls#'DEP-C2'!B5" display="POR TIPO DE DEUDA Y TIPO DE EMPRESA"/>
    <hyperlink ref="D16:F16" location="'DEP-C4'!B5" display="POR TIPO DE EMPRESA Y ACREEDOR"/>
    <hyperlink ref="D15:F15" location="Reporte_Deuda_Empresas_SG_31072021.xls#'DEP-C3'!B5" display="POR TIPO DE MONEDA"/>
    <hyperlink ref="D17:F17" location="Reporte_Deuda_Empresas_SG_31072021.xls#'DEP-C5'!B5" display="POR GRUPO EMPRESARIAL DEL DEUDOR"/>
    <hyperlink ref="D18:F18" location="Reporte_Deuda_Empresas_SG_31072021.xls#'DEP-C6'!B5" display="POR GRUPO EMPRESARIAL Y ENTIDAD DEUDORA"/>
    <hyperlink ref="D19:F19" location="Reporte_Deuda_Empresas_SG_31072021.xls#'DEP-C7'!B5" display="POR TIPO DE EMPRESA Y GRUPO DEL ACREEDOR "/>
    <hyperlink ref="D13:F13" r:id="rId1" display="EVOLUCIÓN DE LA DEUDA DE LAS EMPRESAS PÚBLICAS"/>
    <hyperlink ref="D13:H13" location="Reporte_Deuda_Empresas_SG_31072021.xls#'DEP-C1'!B5" display="EVOLUCIÓN DE LA DEUDA DE LAS EMPRESAS PÚBLICAS - POR TIPO DE DEUDA"/>
    <hyperlink ref="D20:F20" location="Reporte_Deuda_Empresas_SG_31072021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4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31 de julio de 2021</v>
      </c>
      <c r="C9" s="364"/>
      <c r="D9" s="269"/>
      <c r="E9" s="269"/>
      <c r="F9" s="318">
        <f>+Portada!H39</f>
        <v>4.044</v>
      </c>
    </row>
    <row r="10" spans="2:5" ht="9.75" customHeight="1">
      <c r="B10" s="606"/>
      <c r="C10" s="606"/>
      <c r="D10" s="606"/>
      <c r="E10" s="606"/>
    </row>
    <row r="11" spans="2:5" ht="18" customHeight="1">
      <c r="B11" s="604" t="s">
        <v>96</v>
      </c>
      <c r="C11" s="604" t="s">
        <v>26</v>
      </c>
      <c r="D11" s="615" t="s">
        <v>87</v>
      </c>
      <c r="E11" s="616" t="s">
        <v>164</v>
      </c>
    </row>
    <row r="12" spans="2:6" s="81" customFormat="1" ht="18" customHeight="1">
      <c r="B12" s="605"/>
      <c r="C12" s="605"/>
      <c r="D12" s="599"/>
      <c r="E12" s="617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7">
        <f>SUM(D15:D26)</f>
        <v>4362835.958210002</v>
      </c>
      <c r="E14" s="381">
        <f>SUM(E15:E26)</f>
        <v>17643308.615001235</v>
      </c>
      <c r="F14" s="71"/>
    </row>
    <row r="15" spans="2:6" s="65" customFormat="1" ht="16.5" customHeight="1">
      <c r="B15" s="93" t="s">
        <v>211</v>
      </c>
      <c r="C15" s="83" t="s">
        <v>92</v>
      </c>
      <c r="D15" s="478">
        <v>2247807.46578</v>
      </c>
      <c r="E15" s="382">
        <f aca="true" t="shared" si="0" ref="E15:E26">ROUND(D15*$F$9,8)</f>
        <v>9090133.39161432</v>
      </c>
      <c r="F15" s="71"/>
    </row>
    <row r="16" spans="2:6" s="65" customFormat="1" ht="16.5" customHeight="1">
      <c r="B16" s="93" t="s">
        <v>170</v>
      </c>
      <c r="C16" s="83" t="s">
        <v>92</v>
      </c>
      <c r="D16" s="478">
        <v>1552917.0788199997</v>
      </c>
      <c r="E16" s="382">
        <f t="shared" si="0"/>
        <v>6279996.66674808</v>
      </c>
      <c r="F16" s="71"/>
    </row>
    <row r="17" spans="2:6" s="65" customFormat="1" ht="16.5" customHeight="1">
      <c r="B17" s="93" t="s">
        <v>209</v>
      </c>
      <c r="C17" s="83" t="s">
        <v>93</v>
      </c>
      <c r="D17" s="478">
        <v>473878.57443000004</v>
      </c>
      <c r="E17" s="382">
        <f t="shared" si="0"/>
        <v>1916364.95499492</v>
      </c>
      <c r="F17" s="71"/>
    </row>
    <row r="18" spans="2:6" s="65" customFormat="1" ht="16.5" customHeight="1">
      <c r="B18" s="93" t="s">
        <v>124</v>
      </c>
      <c r="C18" s="83" t="s">
        <v>92</v>
      </c>
      <c r="D18" s="478">
        <v>18651.97119</v>
      </c>
      <c r="E18" s="382">
        <f t="shared" si="0"/>
        <v>75428.57149236</v>
      </c>
      <c r="F18" s="71"/>
    </row>
    <row r="19" spans="2:6" s="65" customFormat="1" ht="16.5" customHeight="1">
      <c r="B19" s="93" t="s">
        <v>169</v>
      </c>
      <c r="C19" s="83" t="s">
        <v>93</v>
      </c>
      <c r="D19" s="478">
        <v>18277.83934</v>
      </c>
      <c r="E19" s="382">
        <f t="shared" si="0"/>
        <v>73915.58229096</v>
      </c>
      <c r="F19" s="71"/>
    </row>
    <row r="20" spans="2:6" s="65" customFormat="1" ht="16.5" customHeight="1">
      <c r="B20" s="93" t="s">
        <v>195</v>
      </c>
      <c r="C20" s="83" t="s">
        <v>93</v>
      </c>
      <c r="D20" s="478">
        <v>17415.91655</v>
      </c>
      <c r="E20" s="382">
        <f t="shared" si="0"/>
        <v>70429.9665282</v>
      </c>
      <c r="F20" s="71"/>
    </row>
    <row r="21" spans="2:6" s="65" customFormat="1" ht="16.5" customHeight="1">
      <c r="B21" s="93" t="s">
        <v>168</v>
      </c>
      <c r="C21" s="83" t="s">
        <v>93</v>
      </c>
      <c r="D21" s="478">
        <v>13355.32399</v>
      </c>
      <c r="E21" s="382">
        <f t="shared" si="0"/>
        <v>54008.93021556</v>
      </c>
      <c r="F21" s="71"/>
    </row>
    <row r="22" spans="2:6" s="65" customFormat="1" ht="16.5" customHeight="1">
      <c r="B22" s="93" t="s">
        <v>194</v>
      </c>
      <c r="C22" s="83" t="s">
        <v>93</v>
      </c>
      <c r="D22" s="478">
        <v>11341.103159999999</v>
      </c>
      <c r="E22" s="382">
        <f t="shared" si="0"/>
        <v>45863.42117904</v>
      </c>
      <c r="F22" s="71"/>
    </row>
    <row r="23" spans="2:6" s="65" customFormat="1" ht="16.5" customHeight="1">
      <c r="B23" s="93" t="s">
        <v>193</v>
      </c>
      <c r="C23" s="83" t="s">
        <v>93</v>
      </c>
      <c r="D23" s="478">
        <v>5290.2845</v>
      </c>
      <c r="E23" s="382">
        <f t="shared" si="0"/>
        <v>21393.910518</v>
      </c>
      <c r="F23" s="71"/>
    </row>
    <row r="24" spans="2:6" s="65" customFormat="1" ht="16.5" customHeight="1">
      <c r="B24" s="66" t="s">
        <v>158</v>
      </c>
      <c r="C24" s="83" t="s">
        <v>93</v>
      </c>
      <c r="D24" s="478">
        <v>1707.09073</v>
      </c>
      <c r="E24" s="382">
        <f t="shared" si="0"/>
        <v>6903.47491212</v>
      </c>
      <c r="F24" s="71"/>
    </row>
    <row r="25" spans="2:6" s="65" customFormat="1" ht="16.5" customHeight="1">
      <c r="B25" s="66" t="s">
        <v>196</v>
      </c>
      <c r="C25" s="83" t="s">
        <v>93</v>
      </c>
      <c r="D25" s="478">
        <v>1447.0868899999998</v>
      </c>
      <c r="E25" s="382">
        <f t="shared" si="0"/>
        <v>5852.01938316</v>
      </c>
      <c r="F25" s="71"/>
    </row>
    <row r="26" spans="2:6" s="65" customFormat="1" ht="16.5" customHeight="1">
      <c r="B26" s="93" t="s">
        <v>238</v>
      </c>
      <c r="C26" s="83" t="s">
        <v>93</v>
      </c>
      <c r="D26" s="478">
        <v>746.2228300000002</v>
      </c>
      <c r="E26" s="382">
        <f t="shared" si="0"/>
        <v>3017.72512452</v>
      </c>
      <c r="F26" s="71"/>
    </row>
    <row r="27" spans="2:6" s="65" customFormat="1" ht="12" customHeight="1">
      <c r="B27" s="93"/>
      <c r="C27" s="83"/>
      <c r="D27" s="478"/>
      <c r="E27" s="382"/>
      <c r="F27" s="71"/>
    </row>
    <row r="28" spans="2:7" s="65" customFormat="1" ht="16.5" customHeight="1">
      <c r="B28" s="369" t="s">
        <v>115</v>
      </c>
      <c r="C28" s="370"/>
      <c r="D28" s="477">
        <f>SUM(D29:D42)</f>
        <v>61419.35196999999</v>
      </c>
      <c r="E28" s="381">
        <f>SUM(E29:E42)</f>
        <v>248379.85936668</v>
      </c>
      <c r="F28" s="91"/>
      <c r="G28" s="91"/>
    </row>
    <row r="29" spans="2:9" s="92" customFormat="1" ht="16.5" customHeight="1">
      <c r="B29" s="93" t="s">
        <v>199</v>
      </c>
      <c r="C29" s="83" t="s">
        <v>93</v>
      </c>
      <c r="D29" s="478">
        <v>32968.70242</v>
      </c>
      <c r="E29" s="382">
        <f aca="true" t="shared" si="1" ref="E29:E42">ROUND(D29*$F$9,8)</f>
        <v>133325.43258648</v>
      </c>
      <c r="F29" s="91"/>
      <c r="G29" s="91"/>
      <c r="H29" s="65"/>
      <c r="I29" s="65"/>
    </row>
    <row r="30" spans="2:9" s="92" customFormat="1" ht="16.5" customHeight="1">
      <c r="B30" s="93" t="s">
        <v>208</v>
      </c>
      <c r="C30" s="83" t="s">
        <v>93</v>
      </c>
      <c r="D30" s="478">
        <v>4772.001429999999</v>
      </c>
      <c r="E30" s="382">
        <f t="shared" si="1"/>
        <v>19297.97378292</v>
      </c>
      <c r="F30" s="91"/>
      <c r="G30" s="91"/>
      <c r="H30" s="65"/>
      <c r="I30" s="65"/>
    </row>
    <row r="31" spans="2:9" s="92" customFormat="1" ht="16.5" customHeight="1">
      <c r="B31" s="93" t="s">
        <v>197</v>
      </c>
      <c r="C31" s="83" t="s">
        <v>93</v>
      </c>
      <c r="D31" s="478">
        <v>4425.972559999999</v>
      </c>
      <c r="E31" s="382">
        <f t="shared" si="1"/>
        <v>17898.63303264</v>
      </c>
      <c r="F31" s="91"/>
      <c r="G31" s="91"/>
      <c r="H31" s="65"/>
      <c r="I31" s="65"/>
    </row>
    <row r="32" spans="2:9" s="92" customFormat="1" ht="16.5" customHeight="1">
      <c r="B32" s="66" t="s">
        <v>206</v>
      </c>
      <c r="C32" s="83" t="s">
        <v>93</v>
      </c>
      <c r="D32" s="478">
        <v>4197.685460000001</v>
      </c>
      <c r="E32" s="382">
        <f t="shared" si="1"/>
        <v>16975.44000024</v>
      </c>
      <c r="F32" s="91"/>
      <c r="G32" s="91"/>
      <c r="H32" s="65"/>
      <c r="I32" s="65"/>
    </row>
    <row r="33" spans="2:9" s="92" customFormat="1" ht="16.5" customHeight="1">
      <c r="B33" s="66" t="s">
        <v>69</v>
      </c>
      <c r="C33" s="83" t="s">
        <v>93</v>
      </c>
      <c r="D33" s="478">
        <v>3617.01285</v>
      </c>
      <c r="E33" s="382">
        <f t="shared" si="1"/>
        <v>14627.1999654</v>
      </c>
      <c r="F33" s="91"/>
      <c r="G33" s="91"/>
      <c r="H33" s="65"/>
      <c r="I33" s="65"/>
    </row>
    <row r="34" spans="2:9" s="92" customFormat="1" ht="16.5" customHeight="1">
      <c r="B34" s="93" t="s">
        <v>198</v>
      </c>
      <c r="C34" s="83" t="s">
        <v>93</v>
      </c>
      <c r="D34" s="478">
        <v>3208.8162</v>
      </c>
      <c r="E34" s="382">
        <f t="shared" si="1"/>
        <v>12976.4527128</v>
      </c>
      <c r="F34" s="91"/>
      <c r="G34" s="91"/>
      <c r="H34" s="65"/>
      <c r="I34" s="65"/>
    </row>
    <row r="35" spans="2:9" s="92" customFormat="1" ht="16.5" customHeight="1">
      <c r="B35" s="66" t="s">
        <v>44</v>
      </c>
      <c r="C35" s="83" t="s">
        <v>93</v>
      </c>
      <c r="D35" s="478">
        <v>2373.94935</v>
      </c>
      <c r="E35" s="382">
        <f t="shared" si="1"/>
        <v>9600.2511714</v>
      </c>
      <c r="F35" s="91"/>
      <c r="G35" s="91"/>
      <c r="H35" s="65"/>
      <c r="I35" s="65"/>
    </row>
    <row r="36" spans="2:9" s="92" customFormat="1" ht="16.5" customHeight="1">
      <c r="B36" s="66" t="s">
        <v>49</v>
      </c>
      <c r="C36" s="83" t="s">
        <v>93</v>
      </c>
      <c r="D36" s="478">
        <v>1857.5956299999998</v>
      </c>
      <c r="E36" s="382">
        <f t="shared" si="1"/>
        <v>7512.11672772</v>
      </c>
      <c r="F36" s="91"/>
      <c r="G36" s="91"/>
      <c r="H36" s="65"/>
      <c r="I36" s="65"/>
    </row>
    <row r="37" spans="2:9" s="92" customFormat="1" ht="16.5" customHeight="1">
      <c r="B37" s="66" t="s">
        <v>51</v>
      </c>
      <c r="C37" s="83" t="s">
        <v>93</v>
      </c>
      <c r="D37" s="478">
        <v>1445.2780500000001</v>
      </c>
      <c r="E37" s="382">
        <f t="shared" si="1"/>
        <v>5844.7044342</v>
      </c>
      <c r="F37" s="91"/>
      <c r="G37" s="91"/>
      <c r="H37" s="65"/>
      <c r="I37" s="65"/>
    </row>
    <row r="38" spans="2:9" s="92" customFormat="1" ht="16.5" customHeight="1">
      <c r="B38" s="66" t="s">
        <v>42</v>
      </c>
      <c r="C38" s="83" t="s">
        <v>93</v>
      </c>
      <c r="D38" s="478">
        <v>1225.4651300000003</v>
      </c>
      <c r="E38" s="382">
        <f t="shared" si="1"/>
        <v>4955.78098572</v>
      </c>
      <c r="F38" s="91"/>
      <c r="G38" s="91"/>
      <c r="H38" s="65"/>
      <c r="I38" s="65"/>
    </row>
    <row r="39" spans="2:9" s="92" customFormat="1" ht="16.5" customHeight="1">
      <c r="B39" s="66" t="s">
        <v>207</v>
      </c>
      <c r="C39" s="83" t="s">
        <v>93</v>
      </c>
      <c r="D39" s="478">
        <v>543.31673</v>
      </c>
      <c r="E39" s="382">
        <f>ROUND(D39*$F$9,8)</f>
        <v>2197.17285612</v>
      </c>
      <c r="F39" s="91"/>
      <c r="G39" s="91"/>
      <c r="H39" s="65"/>
      <c r="I39" s="65"/>
    </row>
    <row r="40" spans="2:9" s="92" customFormat="1" ht="16.5" customHeight="1">
      <c r="B40" s="66" t="s">
        <v>233</v>
      </c>
      <c r="C40" s="83" t="s">
        <v>93</v>
      </c>
      <c r="D40" s="478">
        <v>451.8304</v>
      </c>
      <c r="E40" s="382">
        <f t="shared" si="1"/>
        <v>1827.2021376</v>
      </c>
      <c r="F40" s="91"/>
      <c r="G40" s="91"/>
      <c r="H40" s="65"/>
      <c r="I40" s="65"/>
    </row>
    <row r="41" spans="2:9" s="92" customFormat="1" ht="16.5" customHeight="1">
      <c r="B41" s="66" t="s">
        <v>229</v>
      </c>
      <c r="C41" s="83" t="s">
        <v>93</v>
      </c>
      <c r="D41" s="478">
        <v>309.48183</v>
      </c>
      <c r="E41" s="382">
        <f t="shared" si="1"/>
        <v>1251.54452052</v>
      </c>
      <c r="F41" s="91"/>
      <c r="G41" s="91"/>
      <c r="H41" s="65"/>
      <c r="I41" s="65"/>
    </row>
    <row r="42" spans="2:9" s="92" customFormat="1" ht="16.5" customHeight="1">
      <c r="B42" s="66" t="s">
        <v>43</v>
      </c>
      <c r="C42" s="83" t="s">
        <v>93</v>
      </c>
      <c r="D42" s="478">
        <v>22.24393</v>
      </c>
      <c r="E42" s="382">
        <f t="shared" si="1"/>
        <v>89.95445292</v>
      </c>
      <c r="F42" s="91"/>
      <c r="G42" s="91"/>
      <c r="H42" s="65"/>
      <c r="I42" s="65"/>
    </row>
    <row r="43" spans="2:7" s="65" customFormat="1" ht="12" customHeight="1">
      <c r="B43" s="93"/>
      <c r="C43" s="83"/>
      <c r="D43" s="478"/>
      <c r="E43" s="382"/>
      <c r="F43" s="91"/>
      <c r="G43" s="91"/>
    </row>
    <row r="44" spans="2:9" s="92" customFormat="1" ht="16.5" customHeight="1">
      <c r="B44" s="369" t="s">
        <v>86</v>
      </c>
      <c r="C44" s="370"/>
      <c r="D44" s="477">
        <f>+D45</f>
        <v>4290915.87632</v>
      </c>
      <c r="E44" s="480">
        <f>+E45</f>
        <v>17352463.8038381</v>
      </c>
      <c r="F44" s="91"/>
      <c r="G44" s="91"/>
      <c r="H44" s="65"/>
      <c r="I44" s="65"/>
    </row>
    <row r="45" spans="2:9" s="92" customFormat="1" ht="16.5" customHeight="1">
      <c r="B45" s="93" t="s">
        <v>201</v>
      </c>
      <c r="C45" s="83" t="s">
        <v>93</v>
      </c>
      <c r="D45" s="478">
        <v>4290915.87632</v>
      </c>
      <c r="E45" s="382">
        <f>ROUND(D45*$F$9,8)</f>
        <v>17352463.8038381</v>
      </c>
      <c r="F45" s="91"/>
      <c r="G45" s="91"/>
      <c r="H45" s="65"/>
      <c r="I45" s="65"/>
    </row>
    <row r="46" spans="2:7" s="65" customFormat="1" ht="9.75" customHeight="1">
      <c r="B46" s="84"/>
      <c r="C46" s="85"/>
      <c r="D46" s="479"/>
      <c r="E46" s="476"/>
      <c r="F46" s="91"/>
      <c r="G46" s="446"/>
    </row>
    <row r="47" spans="2:9" s="81" customFormat="1" ht="15" customHeight="1">
      <c r="B47" s="601" t="s">
        <v>61</v>
      </c>
      <c r="C47" s="618"/>
      <c r="D47" s="620">
        <f>+D28+D14+D44</f>
        <v>8715171.186500002</v>
      </c>
      <c r="E47" s="596">
        <f>+E28+E14+E44</f>
        <v>35244152.27820602</v>
      </c>
      <c r="F47" s="91"/>
      <c r="G47" s="446"/>
      <c r="H47" s="65"/>
      <c r="I47" s="65"/>
    </row>
    <row r="48" spans="2:9" s="81" customFormat="1" ht="15" customHeight="1">
      <c r="B48" s="602"/>
      <c r="C48" s="619"/>
      <c r="D48" s="621"/>
      <c r="E48" s="597"/>
      <c r="F48" s="91"/>
      <c r="G48" s="446"/>
      <c r="H48" s="65"/>
      <c r="I48" s="65"/>
    </row>
    <row r="49" spans="2:9" ht="15">
      <c r="B49" s="141"/>
      <c r="C49" s="141"/>
      <c r="D49" s="528"/>
      <c r="E49" s="141"/>
      <c r="F49" s="91"/>
      <c r="G49" s="446"/>
      <c r="H49" s="65"/>
      <c r="I49" s="65"/>
    </row>
    <row r="50" spans="2:9" ht="15">
      <c r="B50" s="141"/>
      <c r="C50" s="141"/>
      <c r="D50" s="457"/>
      <c r="E50" s="423"/>
      <c r="F50" s="91"/>
      <c r="G50" s="446"/>
      <c r="H50" s="65"/>
      <c r="I50" s="65"/>
    </row>
    <row r="51" spans="2:9" ht="15">
      <c r="B51" s="141"/>
      <c r="C51" s="141"/>
      <c r="D51" s="424"/>
      <c r="E51" s="425"/>
      <c r="F51" s="91"/>
      <c r="G51" s="446"/>
      <c r="H51" s="65"/>
      <c r="I51" s="65"/>
    </row>
    <row r="52" spans="2:9" ht="15">
      <c r="B52" s="141"/>
      <c r="C52" s="425"/>
      <c r="D52" s="424"/>
      <c r="E52" s="425"/>
      <c r="F52" s="91"/>
      <c r="G52" s="446"/>
      <c r="H52" s="65"/>
      <c r="I52" s="65"/>
    </row>
    <row r="53" spans="2:9" ht="15">
      <c r="B53" s="141"/>
      <c r="C53" s="141"/>
      <c r="D53" s="426"/>
      <c r="E53" s="426"/>
      <c r="F53" s="91"/>
      <c r="G53" s="65"/>
      <c r="H53" s="65"/>
      <c r="I53" s="65"/>
    </row>
    <row r="54" spans="2:7" ht="18">
      <c r="B54" s="365" t="s">
        <v>120</v>
      </c>
      <c r="C54" s="365"/>
      <c r="D54" s="365"/>
      <c r="E54" s="365"/>
      <c r="F54" s="422"/>
      <c r="G54" s="446"/>
    </row>
    <row r="55" spans="2:7" s="89" customFormat="1" ht="18.75">
      <c r="B55" s="366" t="s">
        <v>136</v>
      </c>
      <c r="C55" s="366"/>
      <c r="D55" s="366"/>
      <c r="E55" s="366"/>
      <c r="F55" s="422"/>
      <c r="G55" s="446"/>
    </row>
    <row r="56" spans="2:7" s="89" customFormat="1" ht="18.75">
      <c r="B56" s="366" t="s">
        <v>137</v>
      </c>
      <c r="C56" s="366"/>
      <c r="D56" s="366"/>
      <c r="E56" s="258"/>
      <c r="F56" s="422"/>
      <c r="G56" s="65"/>
    </row>
    <row r="57" spans="2:7" s="89" customFormat="1" ht="18.75">
      <c r="B57" s="368" t="s">
        <v>58</v>
      </c>
      <c r="C57" s="367"/>
      <c r="D57" s="367"/>
      <c r="E57" s="367"/>
      <c r="F57" s="422"/>
      <c r="G57" s="65"/>
    </row>
    <row r="58" spans="2:7" s="89" customFormat="1" ht="18.75">
      <c r="B58" s="133" t="str">
        <f>+B9</f>
        <v>Al 31 de julio de 2021</v>
      </c>
      <c r="C58" s="364"/>
      <c r="D58" s="257"/>
      <c r="E58" s="257"/>
      <c r="F58" s="422"/>
      <c r="G58" s="65"/>
    </row>
    <row r="59" spans="2:7" ht="6" customHeight="1">
      <c r="B59" s="622"/>
      <c r="C59" s="622"/>
      <c r="D59" s="622"/>
      <c r="E59" s="622"/>
      <c r="F59" s="422"/>
      <c r="G59" s="65"/>
    </row>
    <row r="60" spans="2:5" ht="18" customHeight="1">
      <c r="B60" s="604" t="s">
        <v>96</v>
      </c>
      <c r="C60" s="604" t="s">
        <v>26</v>
      </c>
      <c r="D60" s="615" t="s">
        <v>87</v>
      </c>
      <c r="E60" s="616" t="s">
        <v>164</v>
      </c>
    </row>
    <row r="61" spans="2:6" s="81" customFormat="1" ht="18" customHeight="1">
      <c r="B61" s="605"/>
      <c r="C61" s="605"/>
      <c r="D61" s="599"/>
      <c r="E61" s="617"/>
      <c r="F61" s="90"/>
    </row>
    <row r="62" spans="2:6" s="81" customFormat="1" ht="9.75" customHeight="1">
      <c r="B62" s="110"/>
      <c r="C62" s="256"/>
      <c r="D62" s="94"/>
      <c r="E62" s="526"/>
      <c r="F62" s="90"/>
    </row>
    <row r="63" spans="2:7" s="65" customFormat="1" ht="16.5" customHeight="1">
      <c r="B63" s="369" t="s">
        <v>85</v>
      </c>
      <c r="C63" s="370"/>
      <c r="D63" s="477">
        <f>SUM(D64:D73)</f>
        <v>242951.1274</v>
      </c>
      <c r="E63" s="381">
        <f>SUM(E64:E73)</f>
        <v>982494.3592056</v>
      </c>
      <c r="F63" s="71"/>
      <c r="G63" s="71"/>
    </row>
    <row r="64" spans="2:7" s="65" customFormat="1" ht="16.5" customHeight="1">
      <c r="B64" s="93" t="s">
        <v>195</v>
      </c>
      <c r="C64" s="83" t="s">
        <v>93</v>
      </c>
      <c r="D64" s="478">
        <v>74060.33641000003</v>
      </c>
      <c r="E64" s="382">
        <f aca="true" t="shared" si="2" ref="E64:E73">ROUND(D64*$F$9,8)</f>
        <v>299500.00044204</v>
      </c>
      <c r="F64" s="71"/>
      <c r="G64" s="71"/>
    </row>
    <row r="65" spans="2:7" s="65" customFormat="1" ht="16.5" customHeight="1">
      <c r="B65" s="93" t="s">
        <v>171</v>
      </c>
      <c r="C65" s="83" t="s">
        <v>93</v>
      </c>
      <c r="D65" s="478">
        <v>44015.82595000001</v>
      </c>
      <c r="E65" s="382">
        <f t="shared" si="2"/>
        <v>178000.0001418</v>
      </c>
      <c r="F65" s="71"/>
      <c r="G65" s="71"/>
    </row>
    <row r="66" spans="2:7" s="65" customFormat="1" ht="16.5" customHeight="1">
      <c r="B66" s="93" t="s">
        <v>218</v>
      </c>
      <c r="C66" s="83" t="s">
        <v>93</v>
      </c>
      <c r="D66" s="478">
        <v>41256.343949999995</v>
      </c>
      <c r="E66" s="382">
        <f t="shared" si="2"/>
        <v>166840.6549338</v>
      </c>
      <c r="F66" s="71"/>
      <c r="G66" s="71"/>
    </row>
    <row r="67" spans="2:7" s="65" customFormat="1" ht="16.5" customHeight="1">
      <c r="B67" s="93" t="s">
        <v>168</v>
      </c>
      <c r="C67" s="83" t="s">
        <v>93</v>
      </c>
      <c r="D67" s="478">
        <v>34248.26904</v>
      </c>
      <c r="E67" s="382">
        <f t="shared" si="2"/>
        <v>138499.99999776</v>
      </c>
      <c r="F67" s="71"/>
      <c r="G67" s="71"/>
    </row>
    <row r="68" spans="2:7" s="65" customFormat="1" ht="16.5" customHeight="1">
      <c r="B68" s="93" t="s">
        <v>193</v>
      </c>
      <c r="C68" s="83" t="s">
        <v>93</v>
      </c>
      <c r="D68" s="478">
        <v>18657.0308</v>
      </c>
      <c r="E68" s="382">
        <f t="shared" si="2"/>
        <v>75449.0325552</v>
      </c>
      <c r="F68" s="71"/>
      <c r="G68" s="71"/>
    </row>
    <row r="69" spans="2:7" s="65" customFormat="1" ht="16.5" customHeight="1">
      <c r="B69" s="93" t="s">
        <v>231</v>
      </c>
      <c r="C69" s="83" t="s">
        <v>93</v>
      </c>
      <c r="D69" s="478">
        <v>16320.474799999998</v>
      </c>
      <c r="E69" s="382">
        <f t="shared" si="2"/>
        <v>66000.0000912</v>
      </c>
      <c r="F69" s="71"/>
      <c r="G69" s="71"/>
    </row>
    <row r="70" spans="2:7" s="65" customFormat="1" ht="16.5" customHeight="1">
      <c r="B70" s="93" t="s">
        <v>241</v>
      </c>
      <c r="C70" s="83" t="s">
        <v>93</v>
      </c>
      <c r="D70" s="478">
        <v>10200.79895</v>
      </c>
      <c r="E70" s="382">
        <f t="shared" si="2"/>
        <v>41252.0309538</v>
      </c>
      <c r="F70" s="71"/>
      <c r="G70" s="71"/>
    </row>
    <row r="71" spans="2:7" s="65" customFormat="1" ht="16.5" customHeight="1">
      <c r="B71" s="93" t="s">
        <v>242</v>
      </c>
      <c r="C71" s="83" t="s">
        <v>93</v>
      </c>
      <c r="D71" s="478">
        <v>2720.07913</v>
      </c>
      <c r="E71" s="382">
        <f t="shared" si="2"/>
        <v>11000.00000172</v>
      </c>
      <c r="F71" s="71"/>
      <c r="G71" s="71"/>
    </row>
    <row r="72" spans="2:7" s="65" customFormat="1" ht="16.5" customHeight="1" hidden="1">
      <c r="B72" s="93" t="s">
        <v>238</v>
      </c>
      <c r="C72" s="83" t="s">
        <v>93</v>
      </c>
      <c r="D72" s="478">
        <v>0</v>
      </c>
      <c r="E72" s="382">
        <f t="shared" si="2"/>
        <v>0</v>
      </c>
      <c r="F72" s="71"/>
      <c r="G72" s="71"/>
    </row>
    <row r="73" spans="2:7" s="65" customFormat="1" ht="16.5" customHeight="1">
      <c r="B73" s="93" t="s">
        <v>257</v>
      </c>
      <c r="C73" s="83" t="s">
        <v>93</v>
      </c>
      <c r="D73" s="478">
        <v>1471.96837</v>
      </c>
      <c r="E73" s="382">
        <f t="shared" si="2"/>
        <v>5952.64008828</v>
      </c>
      <c r="F73" s="71"/>
      <c r="G73" s="71"/>
    </row>
    <row r="74" spans="2:7" s="65" customFormat="1" ht="12" customHeight="1">
      <c r="B74" s="70"/>
      <c r="C74" s="72"/>
      <c r="D74" s="481"/>
      <c r="E74" s="389"/>
      <c r="F74" s="71"/>
      <c r="G74" s="71"/>
    </row>
    <row r="75" spans="2:7" s="92" customFormat="1" ht="16.5" customHeight="1">
      <c r="B75" s="369" t="s">
        <v>159</v>
      </c>
      <c r="C75" s="72"/>
      <c r="D75" s="477">
        <f>+D76</f>
        <v>0</v>
      </c>
      <c r="E75" s="381">
        <f>+E76</f>
        <v>0</v>
      </c>
      <c r="F75" s="71"/>
      <c r="G75" s="446"/>
    </row>
    <row r="76" spans="2:7" s="92" customFormat="1" ht="16.5" customHeight="1" hidden="1">
      <c r="B76" s="93" t="s">
        <v>201</v>
      </c>
      <c r="C76" s="83" t="s">
        <v>93</v>
      </c>
      <c r="D76" s="478">
        <v>0</v>
      </c>
      <c r="E76" s="382">
        <f>ROUND(D76*$F$9,8)</f>
        <v>0</v>
      </c>
      <c r="F76" s="71"/>
      <c r="G76" s="446"/>
    </row>
    <row r="77" spans="2:7" s="65" customFormat="1" ht="9.75" customHeight="1">
      <c r="B77" s="84"/>
      <c r="C77" s="85"/>
      <c r="D77" s="479"/>
      <c r="E77" s="476"/>
      <c r="F77" s="71"/>
      <c r="G77" s="446"/>
    </row>
    <row r="78" spans="2:7" s="81" customFormat="1" ht="15" customHeight="1">
      <c r="B78" s="601" t="s">
        <v>61</v>
      </c>
      <c r="C78" s="618"/>
      <c r="D78" s="620">
        <f>+D63+D75</f>
        <v>242951.1274</v>
      </c>
      <c r="E78" s="596">
        <f>+E63+E75</f>
        <v>982494.3592056</v>
      </c>
      <c r="F78" s="71"/>
      <c r="G78" s="446"/>
    </row>
    <row r="79" spans="2:6" s="81" customFormat="1" ht="15" customHeight="1">
      <c r="B79" s="602"/>
      <c r="C79" s="619"/>
      <c r="D79" s="621"/>
      <c r="E79" s="597"/>
      <c r="F79" s="90"/>
    </row>
    <row r="80" spans="4:5" ht="12.75">
      <c r="D80" s="193"/>
      <c r="E80" s="193"/>
    </row>
    <row r="81" spans="2:5" ht="15">
      <c r="B81" s="134"/>
      <c r="D81" s="371"/>
      <c r="E81" s="294"/>
    </row>
    <row r="82" spans="2:5" ht="15">
      <c r="B82" s="134"/>
      <c r="D82" s="371"/>
      <c r="E82" s="294"/>
    </row>
    <row r="83" spans="4:5" ht="12.75">
      <c r="D83" s="295"/>
      <c r="E83" s="295"/>
    </row>
    <row r="84" spans="4:5" ht="12.75">
      <c r="D84" s="245"/>
      <c r="E84" s="245"/>
    </row>
  </sheetData>
  <sheetProtection/>
  <mergeCells count="18">
    <mergeCell ref="B10:E10"/>
    <mergeCell ref="B11:B12"/>
    <mergeCell ref="C11:C12"/>
    <mergeCell ref="E11:E12"/>
    <mergeCell ref="D11:D12"/>
    <mergeCell ref="E78:E79"/>
    <mergeCell ref="B78:B79"/>
    <mergeCell ref="C78:C79"/>
    <mergeCell ref="D78:D79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9"/>
      <c r="C1" s="629"/>
      <c r="D1" s="629"/>
      <c r="E1" s="629"/>
    </row>
    <row r="2" spans="2:5" s="136" customFormat="1" ht="18.75" customHeight="1">
      <c r="B2" s="629"/>
      <c r="C2" s="629"/>
      <c r="D2" s="629"/>
      <c r="E2" s="629"/>
    </row>
    <row r="3" spans="2:5" s="136" customFormat="1" ht="11.25" customHeight="1">
      <c r="B3" s="629"/>
      <c r="C3" s="629"/>
      <c r="D3" s="629"/>
      <c r="E3" s="629"/>
    </row>
    <row r="4" spans="2:11" s="136" customFormat="1" ht="15" customHeight="1">
      <c r="B4" s="629"/>
      <c r="C4" s="629"/>
      <c r="D4" s="629"/>
      <c r="E4" s="629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julio de 2021</v>
      </c>
      <c r="C9" s="133"/>
      <c r="D9" s="133"/>
      <c r="E9" s="266"/>
      <c r="F9" s="372">
        <f>+Portada!H39</f>
        <v>4.044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23" t="s">
        <v>101</v>
      </c>
      <c r="D11" s="625" t="s">
        <v>87</v>
      </c>
      <c r="E11" s="588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24"/>
      <c r="D12" s="626"/>
      <c r="E12" s="589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4895794.67071</v>
      </c>
      <c r="E14" s="381">
        <f>+E15+E18+E20+E22+E25</f>
        <v>19798593.64836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5">
        <f>SUM(D16:D17)</f>
        <v>1290915.8763200003</v>
      </c>
      <c r="E15" s="475">
        <f>SUM(E16:E17)</f>
        <v>5220463.80384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232</v>
      </c>
      <c r="C16" s="74" t="s">
        <v>103</v>
      </c>
      <c r="D16" s="384">
        <v>1290915.8763200003</v>
      </c>
      <c r="E16" s="384">
        <f>ROUND(+D16*$F$9,5)</f>
        <v>5220463.80384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188</v>
      </c>
      <c r="C17" s="74" t="s">
        <v>102</v>
      </c>
      <c r="D17" s="384">
        <v>0</v>
      </c>
      <c r="E17" s="384">
        <f>ROUND(+D17*$F$9,5)</f>
        <v>0</v>
      </c>
      <c r="G17" s="527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5">
        <f>+D19</f>
        <v>1578.3538</v>
      </c>
      <c r="E18" s="475">
        <f>+E19</f>
        <v>6382.86277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1578.3538</v>
      </c>
      <c r="E19" s="384">
        <f aca="true" t="shared" si="0" ref="E19:E24">ROUND(+D19*$F$9,5)</f>
        <v>6382.86277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5">
        <f>+D21</f>
        <v>3000000</v>
      </c>
      <c r="E20" s="475">
        <f>+E21</f>
        <v>12132000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225</v>
      </c>
      <c r="C21" s="74" t="s">
        <v>103</v>
      </c>
      <c r="D21" s="384">
        <v>3000000</v>
      </c>
      <c r="E21" s="384">
        <f>ROUND(+D21*$F$9,5)</f>
        <v>12132000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5">
        <f>SUM(D23:D24)</f>
        <v>535404.4194</v>
      </c>
      <c r="E22" s="475">
        <f>SUM(E23:E24)</f>
        <v>2165175.47206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226</v>
      </c>
      <c r="C23" s="74" t="s">
        <v>102</v>
      </c>
      <c r="D23" s="384">
        <v>371868.63836000004</v>
      </c>
      <c r="E23" s="384">
        <f t="shared" si="0"/>
        <v>1503836.77353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163535.78104</v>
      </c>
      <c r="E24" s="384">
        <f t="shared" si="0"/>
        <v>661338.69853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5">
        <f>SUM(D26:D27)</f>
        <v>67896.02119</v>
      </c>
      <c r="E25" s="475">
        <f>SUM(E26:E27)</f>
        <v>274571.50969000004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67873.77726</v>
      </c>
      <c r="E26" s="384">
        <f>ROUND(+D26*$F$9,5)</f>
        <v>274481.55524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22.24393</v>
      </c>
      <c r="E27" s="384">
        <f>ROUND(+D27*$F$9,5)</f>
        <v>89.95445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+D30+D33+D35+D38+D40</f>
        <v>3819376.515789999</v>
      </c>
      <c r="E29" s="381">
        <f>+E30+E33+E35+E38+E40</f>
        <v>15445558.629870001</v>
      </c>
      <c r="F29" s="217"/>
      <c r="G29" s="421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5">
        <f>SUM(D31:D32)</f>
        <v>89825.69791999999</v>
      </c>
      <c r="E30" s="475">
        <f>SUM(E31:E32)</f>
        <v>363255.12239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89020.77152</v>
      </c>
      <c r="E31" s="384">
        <f>ROUND(+D31*$F$9,5)</f>
        <v>360000.00003</v>
      </c>
      <c r="F31" s="388"/>
    </row>
    <row r="32" spans="2:6" s="65" customFormat="1" ht="16.5" customHeight="1">
      <c r="B32" s="388" t="s">
        <v>184</v>
      </c>
      <c r="C32" s="74" t="s">
        <v>102</v>
      </c>
      <c r="D32" s="384">
        <v>804.9264000000001</v>
      </c>
      <c r="E32" s="384">
        <f>ROUND(+D32*$F$9,5)</f>
        <v>3255.12236</v>
      </c>
      <c r="F32" s="388"/>
    </row>
    <row r="33" spans="2:6" s="65" customFormat="1" ht="16.5" customHeight="1">
      <c r="B33" s="73" t="s">
        <v>125</v>
      </c>
      <c r="C33" s="74"/>
      <c r="D33" s="475">
        <f>+D34</f>
        <v>390042.8618799996</v>
      </c>
      <c r="E33" s="475">
        <f>+E34</f>
        <v>1577333.33344</v>
      </c>
      <c r="F33" s="261"/>
    </row>
    <row r="34" spans="2:7" s="65" customFormat="1" ht="16.5" customHeight="1">
      <c r="B34" s="388" t="s">
        <v>185</v>
      </c>
      <c r="C34" s="74" t="s">
        <v>102</v>
      </c>
      <c r="D34" s="384">
        <v>390042.8618799996</v>
      </c>
      <c r="E34" s="384">
        <f>ROUND(+D34*$F$9,5)</f>
        <v>1577333.33344</v>
      </c>
      <c r="G34" s="353"/>
    </row>
    <row r="35" spans="2:5" s="65" customFormat="1" ht="16.5" customHeight="1">
      <c r="B35" s="73" t="s">
        <v>75</v>
      </c>
      <c r="C35" s="74"/>
      <c r="D35" s="475">
        <f>SUM(D36:D37)</f>
        <v>2908822.0653</v>
      </c>
      <c r="E35" s="475">
        <f>SUM(E36:E37)</f>
        <v>11763276.432079999</v>
      </c>
    </row>
    <row r="36" spans="2:5" s="65" customFormat="1" ht="16.5" customHeight="1">
      <c r="B36" s="393" t="s">
        <v>227</v>
      </c>
      <c r="C36" s="74" t="s">
        <v>103</v>
      </c>
      <c r="D36" s="384">
        <v>2368747.88131</v>
      </c>
      <c r="E36" s="384">
        <f>ROUND(+D36*$F$9,5)</f>
        <v>9579216.43202</v>
      </c>
    </row>
    <row r="37" spans="2:5" s="65" customFormat="1" ht="16.5" customHeight="1">
      <c r="B37" s="393" t="s">
        <v>228</v>
      </c>
      <c r="C37" s="74" t="s">
        <v>102</v>
      </c>
      <c r="D37" s="384">
        <v>540074.18399</v>
      </c>
      <c r="E37" s="384">
        <f>ROUND(+D37*$F$9,5)</f>
        <v>2184060.00006</v>
      </c>
    </row>
    <row r="38" spans="2:5" s="65" customFormat="1" ht="16.5" customHeight="1">
      <c r="B38" s="73" t="s">
        <v>88</v>
      </c>
      <c r="C38" s="73"/>
      <c r="D38" s="475">
        <f>+D39</f>
        <v>31762.745410000003</v>
      </c>
      <c r="E38" s="475">
        <f>+E39</f>
        <v>128448.54244</v>
      </c>
    </row>
    <row r="39" spans="2:5" s="65" customFormat="1" ht="16.5" customHeight="1">
      <c r="B39" s="388" t="s">
        <v>226</v>
      </c>
      <c r="C39" s="74" t="s">
        <v>102</v>
      </c>
      <c r="D39" s="384">
        <v>31762.745410000003</v>
      </c>
      <c r="E39" s="384">
        <f>ROUND(+D39*$F$9,5)</f>
        <v>128448.54244</v>
      </c>
    </row>
    <row r="40" spans="2:5" s="65" customFormat="1" ht="16.5" customHeight="1">
      <c r="B40" s="73" t="s">
        <v>36</v>
      </c>
      <c r="C40" s="74"/>
      <c r="D40" s="475">
        <f>SUM(D41:D45)</f>
        <v>398923.14528</v>
      </c>
      <c r="E40" s="475">
        <f>SUM(E41:E45)</f>
        <v>1613245.1995200003</v>
      </c>
    </row>
    <row r="41" spans="2:5" s="65" customFormat="1" ht="16.5" customHeight="1">
      <c r="B41" s="388" t="s">
        <v>166</v>
      </c>
      <c r="C41" s="74" t="s">
        <v>103</v>
      </c>
      <c r="D41" s="384">
        <v>194096.60404999997</v>
      </c>
      <c r="E41" s="384">
        <f>ROUND(+D41*$F$9,5)</f>
        <v>784926.66678</v>
      </c>
    </row>
    <row r="42" spans="2:7" s="65" customFormat="1" ht="16.5" customHeight="1">
      <c r="B42" s="388" t="s">
        <v>234</v>
      </c>
      <c r="C42" s="74" t="s">
        <v>103</v>
      </c>
      <c r="D42" s="384">
        <v>154564.15673999998</v>
      </c>
      <c r="E42" s="384">
        <f>ROUND(+D42*$F$9,5)</f>
        <v>625057.44986</v>
      </c>
      <c r="G42" s="504"/>
    </row>
    <row r="43" spans="2:7" s="65" customFormat="1" ht="16.5" customHeight="1">
      <c r="B43" s="388" t="s">
        <v>235</v>
      </c>
      <c r="C43" s="74" t="s">
        <v>103</v>
      </c>
      <c r="D43" s="384">
        <v>25000</v>
      </c>
      <c r="E43" s="384">
        <f>ROUND(+D43*$F$9,5)</f>
        <v>101100</v>
      </c>
      <c r="G43" s="504"/>
    </row>
    <row r="44" spans="2:7" s="65" customFormat="1" ht="16.5" customHeight="1">
      <c r="B44" s="388" t="s">
        <v>210</v>
      </c>
      <c r="C44" s="74" t="s">
        <v>102</v>
      </c>
      <c r="D44" s="384">
        <v>18651.97119</v>
      </c>
      <c r="E44" s="384">
        <f>ROUND(+D44*$F$9,5)</f>
        <v>75428.57149</v>
      </c>
      <c r="G44" s="504"/>
    </row>
    <row r="45" spans="2:8" s="65" customFormat="1" ht="16.5" customHeight="1">
      <c r="B45" s="388" t="s">
        <v>167</v>
      </c>
      <c r="C45" s="74" t="s">
        <v>103</v>
      </c>
      <c r="D45" s="384">
        <v>6610.4133</v>
      </c>
      <c r="E45" s="384">
        <f>ROUND(+D45*$F$9,5)</f>
        <v>26732.51139</v>
      </c>
      <c r="H45" s="361"/>
    </row>
    <row r="46" spans="2:5" s="65" customFormat="1" ht="9.75" customHeight="1">
      <c r="B46" s="143"/>
      <c r="C46" s="144"/>
      <c r="D46" s="476"/>
      <c r="E46" s="476"/>
    </row>
    <row r="47" spans="2:5" s="81" customFormat="1" ht="15" customHeight="1">
      <c r="B47" s="628" t="s">
        <v>100</v>
      </c>
      <c r="C47" s="145"/>
      <c r="D47" s="633">
        <f>+D29+D14</f>
        <v>8715171.1865</v>
      </c>
      <c r="E47" s="596">
        <f>+E29+E14</f>
        <v>35244152.27823</v>
      </c>
    </row>
    <row r="48" spans="2:5" s="81" customFormat="1" ht="15" customHeight="1">
      <c r="B48" s="602"/>
      <c r="C48" s="146"/>
      <c r="D48" s="597"/>
      <c r="E48" s="597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222</v>
      </c>
      <c r="C50" s="86"/>
      <c r="D50" s="519"/>
      <c r="E50" s="65"/>
    </row>
    <row r="51" spans="2:5" ht="14.25" customHeight="1">
      <c r="B51" s="86" t="s">
        <v>224</v>
      </c>
      <c r="C51" s="86"/>
      <c r="D51" s="86"/>
      <c r="E51" s="65"/>
    </row>
    <row r="52" spans="2:5" ht="14.25" customHeight="1">
      <c r="B52" s="640" t="s">
        <v>261</v>
      </c>
      <c r="C52" s="86"/>
      <c r="D52" s="169"/>
      <c r="E52" s="65"/>
    </row>
    <row r="53" spans="2:5" ht="14.25" customHeight="1">
      <c r="B53" s="640" t="s">
        <v>262</v>
      </c>
      <c r="C53" s="86"/>
      <c r="D53" s="86"/>
      <c r="E53" s="211"/>
    </row>
    <row r="54" spans="2:5" ht="12.75">
      <c r="B54" s="458"/>
      <c r="C54" s="86"/>
      <c r="D54" s="86"/>
      <c r="E54" s="211"/>
    </row>
    <row r="55" spans="4:6" ht="15">
      <c r="D55" s="391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121</v>
      </c>
      <c r="C59" s="95"/>
      <c r="D59" s="95"/>
      <c r="E59" s="95"/>
    </row>
    <row r="60" spans="2:6" s="136" customFormat="1" ht="18">
      <c r="B60" s="627" t="s">
        <v>136</v>
      </c>
      <c r="C60" s="627"/>
      <c r="D60" s="627"/>
      <c r="E60" s="627"/>
      <c r="F60" s="135"/>
    </row>
    <row r="61" spans="2:6" s="136" customFormat="1" ht="18">
      <c r="B61" s="627" t="s">
        <v>137</v>
      </c>
      <c r="C61" s="627"/>
      <c r="D61" s="627"/>
      <c r="E61" s="627"/>
      <c r="F61" s="135"/>
    </row>
    <row r="62" spans="2:5" ht="16.5">
      <c r="B62" s="632" t="s">
        <v>105</v>
      </c>
      <c r="C62" s="632"/>
      <c r="D62" s="632"/>
      <c r="E62" s="632"/>
    </row>
    <row r="63" spans="2:5" ht="15.75">
      <c r="B63" s="600" t="str">
        <f>+B9</f>
        <v>Al 31 de julio de 2021</v>
      </c>
      <c r="C63" s="600"/>
      <c r="D63" s="600"/>
      <c r="E63" s="253"/>
    </row>
    <row r="64" spans="2:5" ht="9.75" customHeight="1">
      <c r="B64" s="184"/>
      <c r="C64" s="184"/>
      <c r="D64" s="184"/>
      <c r="E64" s="184"/>
    </row>
    <row r="65" spans="2:5" ht="16.5" customHeight="1">
      <c r="B65" s="395" t="s">
        <v>212</v>
      </c>
      <c r="C65" s="623" t="s">
        <v>101</v>
      </c>
      <c r="D65" s="625" t="s">
        <v>87</v>
      </c>
      <c r="E65" s="588" t="s">
        <v>164</v>
      </c>
    </row>
    <row r="66" spans="2:5" s="81" customFormat="1" ht="16.5" customHeight="1">
      <c r="B66" s="394" t="s">
        <v>213</v>
      </c>
      <c r="C66" s="624"/>
      <c r="D66" s="626"/>
      <c r="E66" s="589"/>
    </row>
    <row r="67" spans="2:5" s="81" customFormat="1" ht="9.75" customHeight="1">
      <c r="B67" s="191"/>
      <c r="C67" s="142"/>
      <c r="D67" s="96"/>
      <c r="E67" s="96"/>
    </row>
    <row r="68" spans="2:5" s="81" customFormat="1" ht="16.5">
      <c r="B68" s="362" t="s">
        <v>239</v>
      </c>
      <c r="C68" s="362"/>
      <c r="D68" s="396">
        <f>+D69</f>
        <v>0</v>
      </c>
      <c r="E68" s="396">
        <f>+E69</f>
        <v>0</v>
      </c>
    </row>
    <row r="69" spans="2:5" s="81" customFormat="1" ht="16.5" hidden="1">
      <c r="B69" s="73" t="s">
        <v>35</v>
      </c>
      <c r="C69" s="73"/>
      <c r="D69" s="397">
        <f>SUM(D70:D70)</f>
        <v>0</v>
      </c>
      <c r="E69" s="397">
        <f>SUM(E70:E70)</f>
        <v>0</v>
      </c>
    </row>
    <row r="70" spans="2:5" s="81" customFormat="1" ht="16.5" hidden="1">
      <c r="B70" s="388"/>
      <c r="C70" s="74"/>
      <c r="D70" s="427">
        <v>0</v>
      </c>
      <c r="E70" s="392">
        <f>ROUND(+D70*$F$9,5)</f>
        <v>0</v>
      </c>
    </row>
    <row r="71" spans="2:5" s="81" customFormat="1" ht="12" customHeight="1">
      <c r="B71" s="142"/>
      <c r="C71" s="142"/>
      <c r="D71" s="96"/>
      <c r="E71" s="96"/>
    </row>
    <row r="72" spans="2:5" s="65" customFormat="1" ht="16.5" customHeight="1">
      <c r="B72" s="362" t="s">
        <v>237</v>
      </c>
      <c r="C72" s="362"/>
      <c r="D72" s="396">
        <f>+D73+D82+D84</f>
        <v>242951.12740000003</v>
      </c>
      <c r="E72" s="396">
        <f>+E73+E82+E84</f>
        <v>982494.3592099999</v>
      </c>
    </row>
    <row r="73" spans="2:5" s="65" customFormat="1" ht="16.5" customHeight="1">
      <c r="B73" s="73" t="s">
        <v>35</v>
      </c>
      <c r="C73" s="73"/>
      <c r="D73" s="397">
        <f>SUM(D74:D81)</f>
        <v>241479.15903000004</v>
      </c>
      <c r="E73" s="397">
        <f>SUM(E74:E81)</f>
        <v>976541.7191199999</v>
      </c>
    </row>
    <row r="74" spans="2:5" s="65" customFormat="1" ht="16.5" customHeight="1">
      <c r="B74" s="388" t="s">
        <v>157</v>
      </c>
      <c r="C74" s="74" t="s">
        <v>102</v>
      </c>
      <c r="D74" s="427">
        <v>71288.25115</v>
      </c>
      <c r="E74" s="392">
        <f aca="true" t="shared" si="1" ref="E74:E81">ROUND(+D74*$F$9,5)</f>
        <v>288289.68765</v>
      </c>
    </row>
    <row r="75" spans="2:5" s="65" customFormat="1" ht="16.5" customHeight="1">
      <c r="B75" s="388" t="s">
        <v>187</v>
      </c>
      <c r="C75" s="74" t="s">
        <v>102</v>
      </c>
      <c r="D75" s="427">
        <v>89268.05153000001</v>
      </c>
      <c r="E75" s="392">
        <f t="shared" si="1"/>
        <v>361000.00039</v>
      </c>
    </row>
    <row r="76" spans="2:5" s="65" customFormat="1" ht="16.5" customHeight="1">
      <c r="B76" s="388" t="s">
        <v>188</v>
      </c>
      <c r="C76" s="74" t="s">
        <v>102</v>
      </c>
      <c r="D76" s="427">
        <v>62129.58236000002</v>
      </c>
      <c r="E76" s="392">
        <f t="shared" si="1"/>
        <v>251252.03106</v>
      </c>
    </row>
    <row r="77" spans="2:5" s="65" customFormat="1" ht="16.5" customHeight="1">
      <c r="B77" s="388" t="s">
        <v>184</v>
      </c>
      <c r="C77" s="74" t="s">
        <v>102</v>
      </c>
      <c r="D77" s="427">
        <v>18793.27399</v>
      </c>
      <c r="E77" s="392">
        <f t="shared" si="1"/>
        <v>76000.00002</v>
      </c>
    </row>
    <row r="78" spans="2:5" s="65" customFormat="1" ht="16.5" customHeight="1" hidden="1">
      <c r="B78" s="388" t="s">
        <v>255</v>
      </c>
      <c r="C78" s="74" t="s">
        <v>103</v>
      </c>
      <c r="D78" s="427">
        <v>0</v>
      </c>
      <c r="E78" s="392">
        <f t="shared" si="1"/>
        <v>0</v>
      </c>
    </row>
    <row r="79" spans="2:5" s="65" customFormat="1" ht="16.5" customHeight="1" hidden="1">
      <c r="B79" s="388" t="s">
        <v>250</v>
      </c>
      <c r="C79" s="74" t="s">
        <v>102</v>
      </c>
      <c r="D79" s="427">
        <v>0</v>
      </c>
      <c r="E79" s="392">
        <f t="shared" si="1"/>
        <v>0</v>
      </c>
    </row>
    <row r="80" spans="2:5" s="65" customFormat="1" ht="16.5" customHeight="1" hidden="1">
      <c r="B80" s="388" t="s">
        <v>254</v>
      </c>
      <c r="C80" s="74" t="s">
        <v>102</v>
      </c>
      <c r="D80" s="427">
        <v>0</v>
      </c>
      <c r="E80" s="392">
        <f t="shared" si="1"/>
        <v>0</v>
      </c>
    </row>
    <row r="81" spans="2:5" s="65" customFormat="1" ht="16.5" customHeight="1" hidden="1">
      <c r="B81" s="388" t="s">
        <v>256</v>
      </c>
      <c r="C81" s="74" t="s">
        <v>103</v>
      </c>
      <c r="D81" s="427">
        <v>0</v>
      </c>
      <c r="E81" s="392">
        <f t="shared" si="1"/>
        <v>0</v>
      </c>
    </row>
    <row r="82" spans="2:5" s="65" customFormat="1" ht="16.5" customHeight="1" hidden="1">
      <c r="B82" s="73" t="s">
        <v>125</v>
      </c>
      <c r="C82" s="75"/>
      <c r="D82" s="397">
        <f>+D83</f>
        <v>0</v>
      </c>
      <c r="E82" s="397">
        <f>+E83</f>
        <v>0</v>
      </c>
    </row>
    <row r="83" spans="2:5" s="65" customFormat="1" ht="16.5" customHeight="1" hidden="1">
      <c r="B83" s="388" t="s">
        <v>185</v>
      </c>
      <c r="C83" s="74" t="s">
        <v>102</v>
      </c>
      <c r="D83" s="427">
        <v>0</v>
      </c>
      <c r="E83" s="392">
        <f>ROUND(+D83*$F$9,5)</f>
        <v>0</v>
      </c>
    </row>
    <row r="84" spans="2:5" s="65" customFormat="1" ht="16.5" customHeight="1">
      <c r="B84" s="73" t="s">
        <v>36</v>
      </c>
      <c r="C84" s="74"/>
      <c r="D84" s="397">
        <f>SUM(D85:D86)</f>
        <v>1471.96837</v>
      </c>
      <c r="E84" s="397">
        <f>SUM(E85:E86)</f>
        <v>5952.64009</v>
      </c>
    </row>
    <row r="85" spans="2:5" s="65" customFormat="1" ht="16.5" customHeight="1" hidden="1">
      <c r="B85" s="388" t="s">
        <v>0</v>
      </c>
      <c r="C85" s="74" t="s">
        <v>102</v>
      </c>
      <c r="D85" s="427">
        <v>0</v>
      </c>
      <c r="E85" s="392">
        <f>ROUND(+D85*$F$9,5)</f>
        <v>0</v>
      </c>
    </row>
    <row r="86" spans="2:5" s="65" customFormat="1" ht="16.5" customHeight="1">
      <c r="B86" s="388" t="s">
        <v>196</v>
      </c>
      <c r="C86" s="74" t="s">
        <v>102</v>
      </c>
      <c r="D86" s="427">
        <v>1471.96837</v>
      </c>
      <c r="E86" s="392">
        <f>ROUND(+D86*$F$9,5)</f>
        <v>5952.64009</v>
      </c>
    </row>
    <row r="87" spans="2:9" s="65" customFormat="1" ht="9.75" customHeight="1">
      <c r="B87" s="143"/>
      <c r="C87" s="143"/>
      <c r="D87" s="398"/>
      <c r="E87" s="398"/>
      <c r="G87" s="446"/>
      <c r="H87" s="446"/>
      <c r="I87" s="446"/>
    </row>
    <row r="88" spans="2:7" s="81" customFormat="1" ht="15" customHeight="1">
      <c r="B88" s="628" t="s">
        <v>100</v>
      </c>
      <c r="C88" s="145"/>
      <c r="D88" s="630">
        <f>+D68+D72</f>
        <v>242951.12740000003</v>
      </c>
      <c r="E88" s="630">
        <f>+E68+E72</f>
        <v>982494.3592099999</v>
      </c>
      <c r="G88" s="65"/>
    </row>
    <row r="89" spans="2:7" s="81" customFormat="1" ht="15" customHeight="1">
      <c r="B89" s="602"/>
      <c r="C89" s="146"/>
      <c r="D89" s="631"/>
      <c r="E89" s="631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7"/>
      <c r="E91" s="437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B1:E1"/>
    <mergeCell ref="B2:E2"/>
    <mergeCell ref="B3:E3"/>
    <mergeCell ref="B4:E4"/>
    <mergeCell ref="E11:E12"/>
    <mergeCell ref="B88:B89"/>
    <mergeCell ref="D88:D89"/>
    <mergeCell ref="E88:E89"/>
    <mergeCell ref="B62:E62"/>
    <mergeCell ref="D47:D48"/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5:E40 E33 E18:E26 E16 E82 E8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31 de julio de 2021</v>
      </c>
      <c r="C9" s="376"/>
      <c r="D9" s="297"/>
      <c r="E9" s="377">
        <f>+Portada!H39</f>
        <v>4.044</v>
      </c>
      <c r="P9" s="196"/>
    </row>
    <row r="10" spans="2:16" s="77" customFormat="1" ht="9.75" customHeight="1">
      <c r="B10" s="544"/>
      <c r="C10" s="544"/>
      <c r="D10" s="544"/>
      <c r="E10" s="212"/>
      <c r="P10" s="197"/>
    </row>
    <row r="11" spans="2:16" ht="16.5" customHeight="1">
      <c r="B11" s="555" t="s">
        <v>97</v>
      </c>
      <c r="C11" s="634" t="s">
        <v>87</v>
      </c>
      <c r="D11" s="636" t="s">
        <v>164</v>
      </c>
      <c r="P11" s="196"/>
    </row>
    <row r="12" spans="2:16" s="111" customFormat="1" ht="16.5" customHeight="1">
      <c r="B12" s="556"/>
      <c r="C12" s="635"/>
      <c r="D12" s="637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10">
        <f>+C16+C34</f>
        <v>8311539.802730002</v>
      </c>
      <c r="D14" s="510">
        <f>+D16+D34</f>
        <v>33611866.96224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10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SUM(C17:C32)</f>
        <v>4523926.032350003</v>
      </c>
      <c r="D16" s="381">
        <f>SUM(D17:D32)</f>
        <v>18294756.87482</v>
      </c>
      <c r="E16" s="461"/>
      <c r="F16" s="461"/>
      <c r="P16" s="197"/>
    </row>
    <row r="17" spans="2:16" s="77" customFormat="1" ht="16.5" customHeight="1">
      <c r="B17" s="379" t="s">
        <v>201</v>
      </c>
      <c r="C17" s="495">
        <v>4290915.87632</v>
      </c>
      <c r="D17" s="382">
        <f aca="true" t="shared" si="0" ref="D17:D32">ROUND(+C17*$E$9,5)</f>
        <v>17352463.80384</v>
      </c>
      <c r="E17" s="461"/>
      <c r="F17" s="461"/>
      <c r="P17" s="197"/>
    </row>
    <row r="18" spans="2:16" s="77" customFormat="1" ht="16.5" customHeight="1">
      <c r="B18" s="379" t="s">
        <v>209</v>
      </c>
      <c r="C18" s="495">
        <v>117502.76282999999</v>
      </c>
      <c r="D18" s="382">
        <f t="shared" si="0"/>
        <v>475181.17288</v>
      </c>
      <c r="E18" s="461"/>
      <c r="F18" s="461"/>
      <c r="P18" s="197"/>
    </row>
    <row r="19" spans="2:16" s="77" customFormat="1" ht="16.5" customHeight="1">
      <c r="B19" s="379" t="s">
        <v>199</v>
      </c>
      <c r="C19" s="495">
        <v>32968.70242</v>
      </c>
      <c r="D19" s="382">
        <f t="shared" si="0"/>
        <v>133325.43259</v>
      </c>
      <c r="E19" s="461"/>
      <c r="F19" s="461"/>
      <c r="P19" s="197"/>
    </row>
    <row r="20" spans="2:16" s="77" customFormat="1" ht="16.5" customHeight="1">
      <c r="B20" s="379" t="s">
        <v>169</v>
      </c>
      <c r="C20" s="495">
        <v>18277.83934</v>
      </c>
      <c r="D20" s="382">
        <f t="shared" si="0"/>
        <v>73915.58229</v>
      </c>
      <c r="E20" s="461"/>
      <c r="F20" s="461"/>
      <c r="P20" s="197"/>
    </row>
    <row r="21" spans="2:16" s="77" customFormat="1" ht="16.5" customHeight="1">
      <c r="B21" s="379" t="s">
        <v>195</v>
      </c>
      <c r="C21" s="495">
        <v>17415.91655</v>
      </c>
      <c r="D21" s="382">
        <f t="shared" si="0"/>
        <v>70429.96653</v>
      </c>
      <c r="E21" s="461"/>
      <c r="F21" s="461"/>
      <c r="P21" s="197"/>
    </row>
    <row r="22" spans="2:16" s="77" customFormat="1" ht="16.5" customHeight="1">
      <c r="B22" s="379" t="s">
        <v>168</v>
      </c>
      <c r="C22" s="495">
        <v>13355.32399</v>
      </c>
      <c r="D22" s="382">
        <f t="shared" si="0"/>
        <v>54008.93022</v>
      </c>
      <c r="E22" s="461"/>
      <c r="F22" s="461"/>
      <c r="P22" s="197"/>
    </row>
    <row r="23" spans="2:16" s="77" customFormat="1" ht="16.5" customHeight="1">
      <c r="B23" s="379" t="s">
        <v>194</v>
      </c>
      <c r="C23" s="495">
        <v>11341.103159999999</v>
      </c>
      <c r="D23" s="382">
        <f t="shared" si="0"/>
        <v>45863.42118</v>
      </c>
      <c r="E23" s="461"/>
      <c r="F23" s="461"/>
      <c r="P23" s="197"/>
    </row>
    <row r="24" spans="2:16" s="77" customFormat="1" ht="16.5" customHeight="1">
      <c r="B24" s="379" t="s">
        <v>200</v>
      </c>
      <c r="C24" s="495">
        <v>5290.2845</v>
      </c>
      <c r="D24" s="382">
        <f t="shared" si="0"/>
        <v>21393.91052</v>
      </c>
      <c r="E24" s="461"/>
      <c r="F24" s="461"/>
      <c r="P24" s="197"/>
    </row>
    <row r="25" spans="2:16" s="77" customFormat="1" ht="16.5" customHeight="1">
      <c r="B25" s="379" t="s">
        <v>208</v>
      </c>
      <c r="C25" s="495">
        <v>4698.4547999999995</v>
      </c>
      <c r="D25" s="382">
        <f t="shared" si="0"/>
        <v>19000.55121</v>
      </c>
      <c r="E25" s="461"/>
      <c r="F25" s="461"/>
      <c r="P25" s="197"/>
    </row>
    <row r="26" spans="2:16" s="77" customFormat="1" ht="16.5" customHeight="1">
      <c r="B26" s="379" t="s">
        <v>197</v>
      </c>
      <c r="C26" s="495">
        <v>4425.972559999999</v>
      </c>
      <c r="D26" s="382">
        <f t="shared" si="0"/>
        <v>17898.63303</v>
      </c>
      <c r="E26" s="461"/>
      <c r="F26" s="461"/>
      <c r="P26" s="197"/>
    </row>
    <row r="27" spans="2:16" s="77" customFormat="1" ht="16.5" customHeight="1">
      <c r="B27" s="379" t="s">
        <v>198</v>
      </c>
      <c r="C27" s="495">
        <v>3208.8162</v>
      </c>
      <c r="D27" s="382">
        <f t="shared" si="0"/>
        <v>12976.45271</v>
      </c>
      <c r="E27" s="461"/>
      <c r="F27" s="461"/>
      <c r="P27" s="197"/>
    </row>
    <row r="28" spans="2:16" s="77" customFormat="1" ht="16.5" customHeight="1">
      <c r="B28" s="379" t="s">
        <v>49</v>
      </c>
      <c r="C28" s="495">
        <v>1857.5956299999998</v>
      </c>
      <c r="D28" s="382">
        <f t="shared" si="0"/>
        <v>7512.11673</v>
      </c>
      <c r="E28" s="461"/>
      <c r="F28" s="461"/>
      <c r="P28" s="197"/>
    </row>
    <row r="29" spans="2:16" s="77" customFormat="1" ht="16.5" customHeight="1">
      <c r="B29" s="379" t="s">
        <v>196</v>
      </c>
      <c r="C29" s="495">
        <v>1447.08689</v>
      </c>
      <c r="D29" s="382">
        <f t="shared" si="0"/>
        <v>5852.01938</v>
      </c>
      <c r="E29" s="461"/>
      <c r="F29" s="461"/>
      <c r="P29" s="197"/>
    </row>
    <row r="30" spans="2:16" s="77" customFormat="1" ht="16.5" customHeight="1">
      <c r="B30" s="379" t="s">
        <v>238</v>
      </c>
      <c r="C30" s="495">
        <v>746.2228300000002</v>
      </c>
      <c r="D30" s="382">
        <f t="shared" si="0"/>
        <v>3017.72512</v>
      </c>
      <c r="E30" s="461"/>
      <c r="F30" s="461"/>
      <c r="P30" s="197"/>
    </row>
    <row r="31" spans="2:16" s="77" customFormat="1" ht="16.5" customHeight="1">
      <c r="B31" s="379" t="s">
        <v>233</v>
      </c>
      <c r="C31" s="495">
        <v>451.8304</v>
      </c>
      <c r="D31" s="382">
        <f t="shared" si="0"/>
        <v>1827.20214</v>
      </c>
      <c r="E31" s="461"/>
      <c r="F31" s="461"/>
      <c r="P31" s="197"/>
    </row>
    <row r="32" spans="2:16" s="77" customFormat="1" ht="16.5" customHeight="1">
      <c r="B32" s="379" t="s">
        <v>43</v>
      </c>
      <c r="C32" s="495">
        <v>22.24393</v>
      </c>
      <c r="D32" s="382">
        <f t="shared" si="0"/>
        <v>89.95445</v>
      </c>
      <c r="E32" s="461"/>
      <c r="F32" s="461"/>
      <c r="P32" s="197"/>
    </row>
    <row r="33" spans="2:16" s="77" customFormat="1" ht="12" customHeight="1">
      <c r="B33" s="300"/>
      <c r="C33" s="384"/>
      <c r="D33" s="384"/>
      <c r="E33" s="461"/>
      <c r="F33" s="461"/>
      <c r="P33" s="197"/>
    </row>
    <row r="34" spans="2:16" s="77" customFormat="1" ht="16.5" customHeight="1">
      <c r="B34" s="78" t="s">
        <v>25</v>
      </c>
      <c r="C34" s="381">
        <f>SUM(C35:C37)</f>
        <v>3787613.7703799997</v>
      </c>
      <c r="D34" s="381">
        <f>+SUM(D35:D37)</f>
        <v>15317110.087420002</v>
      </c>
      <c r="E34" s="461"/>
      <c r="F34" s="461"/>
      <c r="P34" s="197"/>
    </row>
    <row r="35" spans="2:16" s="77" customFormat="1" ht="16.5" customHeight="1">
      <c r="B35" s="379" t="s">
        <v>210</v>
      </c>
      <c r="C35" s="495">
        <v>2216044.72037</v>
      </c>
      <c r="D35" s="382">
        <f>ROUND(+C35*$E$9,5)</f>
        <v>8961684.84918</v>
      </c>
      <c r="E35" s="461"/>
      <c r="F35" s="461"/>
      <c r="P35" s="197"/>
    </row>
    <row r="36" spans="2:16" s="77" customFormat="1" ht="16.5" customHeight="1">
      <c r="B36" s="380" t="s">
        <v>170</v>
      </c>
      <c r="C36" s="495">
        <v>1552917.0788199997</v>
      </c>
      <c r="D36" s="382">
        <f>ROUND(+C36*$E$9,5)</f>
        <v>6279996.66675</v>
      </c>
      <c r="E36" s="248"/>
      <c r="F36" s="387"/>
      <c r="P36" s="197"/>
    </row>
    <row r="37" spans="2:16" s="77" customFormat="1" ht="16.5" customHeight="1">
      <c r="B37" s="379" t="s">
        <v>124</v>
      </c>
      <c r="C37" s="495">
        <v>18651.97119</v>
      </c>
      <c r="D37" s="382">
        <f>ROUND(+C37*$E$9,5)</f>
        <v>75428.57149</v>
      </c>
      <c r="E37" s="248"/>
      <c r="F37" s="387"/>
      <c r="P37" s="197"/>
    </row>
    <row r="38" spans="2:16" s="77" customFormat="1" ht="15" customHeight="1">
      <c r="B38" s="300"/>
      <c r="C38" s="482"/>
      <c r="D38" s="482"/>
      <c r="E38" s="248"/>
      <c r="F38" s="387"/>
      <c r="P38" s="197"/>
    </row>
    <row r="39" spans="2:16" s="77" customFormat="1" ht="19.5" customHeight="1">
      <c r="B39" s="79" t="s">
        <v>203</v>
      </c>
      <c r="C39" s="510">
        <f>+C41+C53</f>
        <v>403631.3837700002</v>
      </c>
      <c r="D39" s="510">
        <f>+D41+D53</f>
        <v>1632285.31597</v>
      </c>
      <c r="E39" s="248"/>
      <c r="F39" s="387"/>
      <c r="P39" s="197"/>
    </row>
    <row r="40" spans="2:16" s="77" customFormat="1" ht="9.75" customHeight="1">
      <c r="B40" s="79"/>
      <c r="C40" s="510"/>
      <c r="D40" s="510"/>
      <c r="E40" s="248"/>
      <c r="F40" s="387"/>
      <c r="P40" s="197"/>
    </row>
    <row r="41" spans="2:16" s="77" customFormat="1" ht="16.5" customHeight="1">
      <c r="B41" s="78" t="s">
        <v>24</v>
      </c>
      <c r="C41" s="381">
        <f>SUM(C42:C51)</f>
        <v>371868.63836000016</v>
      </c>
      <c r="D41" s="381">
        <f>SUM(D42:D51)</f>
        <v>1503836.7735300001</v>
      </c>
      <c r="E41" s="248"/>
      <c r="F41" s="248"/>
      <c r="P41" s="197"/>
    </row>
    <row r="42" spans="2:16" s="77" customFormat="1" ht="16.5" customHeight="1">
      <c r="B42" s="379" t="s">
        <v>209</v>
      </c>
      <c r="C42" s="495">
        <v>356375.8116000001</v>
      </c>
      <c r="D42" s="382">
        <f aca="true" t="shared" si="1" ref="D42:D51">ROUND(+C42*$E$9,5)</f>
        <v>1441183.78211</v>
      </c>
      <c r="E42" s="248"/>
      <c r="F42" s="248"/>
      <c r="P42" s="197"/>
    </row>
    <row r="43" spans="2:16" s="77" customFormat="1" ht="16.5" customHeight="1">
      <c r="B43" s="344" t="s">
        <v>206</v>
      </c>
      <c r="C43" s="495">
        <v>4197.685460000001</v>
      </c>
      <c r="D43" s="382">
        <f t="shared" si="1"/>
        <v>16975.44</v>
      </c>
      <c r="E43" s="248"/>
      <c r="F43" s="248"/>
      <c r="P43" s="197"/>
    </row>
    <row r="44" spans="2:16" s="77" customFormat="1" ht="16.5" customHeight="1">
      <c r="B44" s="344" t="s">
        <v>69</v>
      </c>
      <c r="C44" s="495">
        <v>3617.01285</v>
      </c>
      <c r="D44" s="382">
        <f t="shared" si="1"/>
        <v>14627.19997</v>
      </c>
      <c r="E44" s="248"/>
      <c r="F44" s="248"/>
      <c r="P44" s="197"/>
    </row>
    <row r="45" spans="2:16" s="77" customFormat="1" ht="16.5" customHeight="1">
      <c r="B45" s="344" t="s">
        <v>44</v>
      </c>
      <c r="C45" s="495">
        <v>2373.94935</v>
      </c>
      <c r="D45" s="382">
        <f t="shared" si="1"/>
        <v>9600.25117</v>
      </c>
      <c r="E45" s="248"/>
      <c r="F45" s="248"/>
      <c r="P45" s="197"/>
    </row>
    <row r="46" spans="2:16" s="77" customFormat="1" ht="16.5" customHeight="1">
      <c r="B46" s="344" t="s">
        <v>158</v>
      </c>
      <c r="C46" s="495">
        <v>1707.09073</v>
      </c>
      <c r="D46" s="382">
        <f t="shared" si="1"/>
        <v>6903.47491</v>
      </c>
      <c r="E46" s="248"/>
      <c r="F46" s="248"/>
      <c r="P46" s="197"/>
    </row>
    <row r="47" spans="2:16" s="77" customFormat="1" ht="16.5" customHeight="1">
      <c r="B47" s="344" t="s">
        <v>51</v>
      </c>
      <c r="C47" s="495">
        <v>1445.2780500000001</v>
      </c>
      <c r="D47" s="382">
        <f t="shared" si="1"/>
        <v>5844.70443</v>
      </c>
      <c r="E47" s="248"/>
      <c r="F47" s="248"/>
      <c r="P47" s="197"/>
    </row>
    <row r="48" spans="2:16" s="77" customFormat="1" ht="16.5" customHeight="1">
      <c r="B48" s="344" t="s">
        <v>42</v>
      </c>
      <c r="C48" s="495">
        <v>1225.4651300000003</v>
      </c>
      <c r="D48" s="382">
        <f t="shared" si="1"/>
        <v>4955.78099</v>
      </c>
      <c r="E48" s="248"/>
      <c r="F48" s="248"/>
      <c r="P48" s="197"/>
    </row>
    <row r="49" spans="2:16" s="77" customFormat="1" ht="16.5" customHeight="1">
      <c r="B49" s="344" t="s">
        <v>207</v>
      </c>
      <c r="C49" s="495">
        <v>543.31673</v>
      </c>
      <c r="D49" s="382">
        <f t="shared" si="1"/>
        <v>2197.17286</v>
      </c>
      <c r="E49" s="248"/>
      <c r="F49" s="248"/>
      <c r="P49" s="197"/>
    </row>
    <row r="50" spans="2:16" s="77" customFormat="1" ht="16.5" customHeight="1">
      <c r="B50" s="344" t="s">
        <v>229</v>
      </c>
      <c r="C50" s="495">
        <v>309.48183</v>
      </c>
      <c r="D50" s="382">
        <f t="shared" si="1"/>
        <v>1251.54452</v>
      </c>
      <c r="E50" s="248"/>
      <c r="F50" s="248"/>
      <c r="P50" s="197"/>
    </row>
    <row r="51" spans="2:16" s="77" customFormat="1" ht="16.5" customHeight="1">
      <c r="B51" s="344" t="s">
        <v>208</v>
      </c>
      <c r="C51" s="495">
        <v>73.54663000000001</v>
      </c>
      <c r="D51" s="382">
        <f t="shared" si="1"/>
        <v>297.42257</v>
      </c>
      <c r="E51" s="248"/>
      <c r="F51" s="248"/>
      <c r="P51" s="197"/>
    </row>
    <row r="52" spans="2:16" s="77" customFormat="1" ht="12" customHeight="1">
      <c r="B52" s="388"/>
      <c r="C52" s="384"/>
      <c r="D52" s="384"/>
      <c r="E52" s="248"/>
      <c r="F52" s="248"/>
      <c r="G52" s="448"/>
      <c r="P52" s="197"/>
    </row>
    <row r="53" spans="2:16" s="77" customFormat="1" ht="16.5" customHeight="1">
      <c r="B53" s="78" t="s">
        <v>25</v>
      </c>
      <c r="C53" s="381">
        <f>+C54</f>
        <v>31762.745410000003</v>
      </c>
      <c r="D53" s="381">
        <f>+D54</f>
        <v>128448.54244</v>
      </c>
      <c r="E53" s="248"/>
      <c r="F53" s="447"/>
      <c r="P53" s="197"/>
    </row>
    <row r="54" spans="2:16" s="77" customFormat="1" ht="16.5" customHeight="1">
      <c r="B54" s="344" t="s">
        <v>210</v>
      </c>
      <c r="C54" s="495">
        <v>31762.745410000003</v>
      </c>
      <c r="D54" s="382">
        <f>ROUND(+C54*$E$9,5)</f>
        <v>128448.54244</v>
      </c>
      <c r="E54" s="248"/>
      <c r="F54" s="387"/>
      <c r="P54" s="197"/>
    </row>
    <row r="55" spans="2:16" s="77" customFormat="1" ht="9.75" customHeight="1">
      <c r="B55" s="76"/>
      <c r="C55" s="389"/>
      <c r="D55" s="389"/>
      <c r="E55" s="248"/>
      <c r="F55" s="387"/>
      <c r="P55" s="197"/>
    </row>
    <row r="56" spans="2:16" s="77" customFormat="1" ht="18" customHeight="1" hidden="1">
      <c r="B56" s="150"/>
      <c r="C56" s="382"/>
      <c r="D56" s="382"/>
      <c r="E56" s="248"/>
      <c r="F56" s="387"/>
      <c r="P56" s="197"/>
    </row>
    <row r="57" spans="2:16" s="77" customFormat="1" ht="21.75" customHeight="1" hidden="1">
      <c r="B57" s="79" t="s">
        <v>112</v>
      </c>
      <c r="C57" s="510">
        <f>+C58</f>
        <v>0</v>
      </c>
      <c r="D57" s="510">
        <f>+D58</f>
        <v>0</v>
      </c>
      <c r="E57" s="248"/>
      <c r="F57" s="387"/>
      <c r="H57" s="301"/>
      <c r="P57" s="197"/>
    </row>
    <row r="58" spans="2:16" s="77" customFormat="1" ht="21.75" customHeight="1" hidden="1">
      <c r="B58" s="76" t="s">
        <v>66</v>
      </c>
      <c r="C58" s="389">
        <f>+C59</f>
        <v>0</v>
      </c>
      <c r="D58" s="389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299" t="s">
        <v>109</v>
      </c>
      <c r="C59" s="384">
        <v>0</v>
      </c>
      <c r="D59" s="384">
        <f>+C59*$E$9</f>
        <v>0</v>
      </c>
      <c r="E59" s="248"/>
      <c r="F59" s="387"/>
      <c r="H59" s="301"/>
      <c r="P59" s="197"/>
    </row>
    <row r="60" spans="2:16" s="77" customFormat="1" ht="19.5" customHeight="1" hidden="1">
      <c r="B60" s="150"/>
      <c r="C60" s="382"/>
      <c r="D60" s="382"/>
      <c r="E60" s="248"/>
      <c r="F60" s="387"/>
      <c r="P60" s="197"/>
    </row>
    <row r="61" spans="2:16" s="77" customFormat="1" ht="21.75" customHeight="1" hidden="1">
      <c r="B61" s="79" t="s">
        <v>138</v>
      </c>
      <c r="C61" s="510">
        <f>+C62+C86</f>
        <v>0</v>
      </c>
      <c r="D61" s="510">
        <f>+D62+D86</f>
        <v>0</v>
      </c>
      <c r="E61" s="248"/>
      <c r="F61" s="387"/>
      <c r="P61" s="197"/>
    </row>
    <row r="62" spans="2:16" s="77" customFormat="1" ht="21.75" customHeight="1" hidden="1">
      <c r="B62" s="78" t="s">
        <v>24</v>
      </c>
      <c r="C62" s="381">
        <f>SUM(C63:C84)</f>
        <v>0</v>
      </c>
      <c r="D62" s="381">
        <f>SUM(D63:D84)</f>
        <v>0</v>
      </c>
      <c r="E62" s="248"/>
      <c r="F62" s="387"/>
      <c r="P62" s="197"/>
    </row>
    <row r="63" spans="2:16" s="77" customFormat="1" ht="21.75" customHeight="1" hidden="1">
      <c r="B63" s="299" t="s">
        <v>108</v>
      </c>
      <c r="C63" s="384"/>
      <c r="D63" s="384">
        <f aca="true" t="shared" si="2" ref="D63:D84">+C63*$E$9</f>
        <v>0</v>
      </c>
      <c r="E63" s="248"/>
      <c r="F63" s="387"/>
      <c r="P63" s="197"/>
    </row>
    <row r="64" spans="2:16" s="77" customFormat="1" ht="21.75" customHeight="1" hidden="1">
      <c r="B64" s="299" t="s">
        <v>38</v>
      </c>
      <c r="C64" s="384"/>
      <c r="D64" s="384">
        <f t="shared" si="2"/>
        <v>0</v>
      </c>
      <c r="E64" s="248"/>
      <c r="F64" s="387"/>
      <c r="P64" s="197"/>
    </row>
    <row r="65" spans="2:16" s="77" customFormat="1" ht="21.75" customHeight="1" hidden="1">
      <c r="B65" s="299" t="s">
        <v>39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41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145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40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45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69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47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42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44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48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51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158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53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55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46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50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57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52</v>
      </c>
      <c r="C82" s="384"/>
      <c r="D82" s="384">
        <f t="shared" si="2"/>
        <v>0</v>
      </c>
      <c r="E82" s="248"/>
      <c r="F82" s="387"/>
      <c r="P82" s="197"/>
    </row>
    <row r="83" spans="2:16" s="77" customFormat="1" ht="21.75" customHeight="1" hidden="1">
      <c r="B83" s="299" t="s">
        <v>54</v>
      </c>
      <c r="C83" s="384"/>
      <c r="D83" s="384">
        <f t="shared" si="2"/>
        <v>0</v>
      </c>
      <c r="E83" s="248"/>
      <c r="F83" s="387"/>
      <c r="P83" s="197"/>
    </row>
    <row r="84" spans="2:16" s="77" customFormat="1" ht="21.75" customHeight="1" hidden="1">
      <c r="B84" s="299" t="s">
        <v>56</v>
      </c>
      <c r="C84" s="384"/>
      <c r="D84" s="384">
        <f t="shared" si="2"/>
        <v>0</v>
      </c>
      <c r="E84" s="248"/>
      <c r="F84" s="387"/>
      <c r="P84" s="197"/>
    </row>
    <row r="85" spans="2:16" s="77" customFormat="1" ht="9.75" customHeight="1" hidden="1">
      <c r="B85" s="76"/>
      <c r="C85" s="389"/>
      <c r="D85" s="389"/>
      <c r="E85" s="248"/>
      <c r="F85" s="387"/>
      <c r="P85" s="197"/>
    </row>
    <row r="86" spans="2:16" s="77" customFormat="1" ht="21.75" customHeight="1" hidden="1">
      <c r="B86" s="78" t="s">
        <v>25</v>
      </c>
      <c r="C86" s="381">
        <f>+C87</f>
        <v>0</v>
      </c>
      <c r="D86" s="381">
        <f>+D87</f>
        <v>0</v>
      </c>
      <c r="E86" s="248"/>
      <c r="F86" s="387"/>
      <c r="P86" s="197"/>
    </row>
    <row r="87" spans="2:16" s="77" customFormat="1" ht="21.75" customHeight="1" hidden="1">
      <c r="B87" s="299" t="s">
        <v>107</v>
      </c>
      <c r="C87" s="384"/>
      <c r="D87" s="384">
        <f>+C87*$E$9</f>
        <v>0</v>
      </c>
      <c r="E87" s="248"/>
      <c r="F87" s="387"/>
      <c r="P87" s="197"/>
    </row>
    <row r="88" spans="2:16" s="77" customFormat="1" ht="4.5" customHeight="1">
      <c r="B88" s="150"/>
      <c r="C88" s="382"/>
      <c r="D88" s="382"/>
      <c r="E88" s="248"/>
      <c r="F88" s="387"/>
      <c r="P88" s="197"/>
    </row>
    <row r="89" spans="2:16" s="77" customFormat="1" ht="15" customHeight="1">
      <c r="B89" s="638" t="s">
        <v>28</v>
      </c>
      <c r="C89" s="596">
        <f>C14+C39</f>
        <v>8715171.186500002</v>
      </c>
      <c r="D89" s="596">
        <f>+D14+D39</f>
        <v>35244152.27821001</v>
      </c>
      <c r="E89" s="248"/>
      <c r="F89" s="387"/>
      <c r="P89" s="197"/>
    </row>
    <row r="90" spans="2:16" s="111" customFormat="1" ht="15" customHeight="1">
      <c r="B90" s="639"/>
      <c r="C90" s="597"/>
      <c r="D90" s="597"/>
      <c r="E90" s="248"/>
      <c r="F90" s="387"/>
      <c r="G90" s="77"/>
      <c r="P90" s="198"/>
    </row>
    <row r="91" spans="2:16" s="77" customFormat="1" ht="7.5" customHeight="1">
      <c r="B91" s="151"/>
      <c r="C91" s="101"/>
      <c r="D91" s="101"/>
      <c r="E91" s="248"/>
      <c r="F91" s="387"/>
      <c r="P91" s="197"/>
    </row>
    <row r="92" spans="1:16" ht="14.25" customHeight="1">
      <c r="A92" s="302"/>
      <c r="B92" s="303" t="s">
        <v>204</v>
      </c>
      <c r="C92" s="314"/>
      <c r="D92" s="304"/>
      <c r="E92" s="248"/>
      <c r="F92" s="387"/>
      <c r="G92" s="77"/>
      <c r="P92" s="196"/>
    </row>
    <row r="93" spans="1:16" ht="14.25" customHeight="1">
      <c r="A93" s="302"/>
      <c r="B93" s="303" t="s">
        <v>205</v>
      </c>
      <c r="C93" s="305"/>
      <c r="D93" s="306"/>
      <c r="E93" s="248"/>
      <c r="F93" s="387"/>
      <c r="G93" s="77"/>
      <c r="P93" s="196"/>
    </row>
    <row r="94" spans="3:16" ht="14.25">
      <c r="C94" s="307"/>
      <c r="D94" s="308"/>
      <c r="E94" s="248"/>
      <c r="F94" s="387"/>
      <c r="G94" s="77"/>
      <c r="P94" s="196"/>
    </row>
    <row r="95" spans="3:16" ht="14.25">
      <c r="C95" s="310"/>
      <c r="D95" s="310"/>
      <c r="E95" s="248"/>
      <c r="F95" s="387"/>
      <c r="G95" s="311"/>
      <c r="H95" s="311"/>
      <c r="P95" s="196"/>
    </row>
    <row r="96" spans="3:16" ht="12.75">
      <c r="C96" s="312"/>
      <c r="D96" s="312"/>
      <c r="G96" s="311"/>
      <c r="H96" s="311"/>
      <c r="P96" s="196"/>
    </row>
    <row r="97" spans="3:16" ht="12.75">
      <c r="C97" s="313"/>
      <c r="D97" s="313"/>
      <c r="H97" s="309"/>
      <c r="P97" s="196"/>
    </row>
    <row r="98" spans="2:16" ht="18">
      <c r="B98" s="373" t="s">
        <v>122</v>
      </c>
      <c r="C98" s="373"/>
      <c r="D98" s="373"/>
      <c r="H98" s="309"/>
      <c r="P98" s="196"/>
    </row>
    <row r="99" spans="2:16" ht="18">
      <c r="B99" s="374" t="s">
        <v>136</v>
      </c>
      <c r="C99" s="374"/>
      <c r="D99" s="374"/>
      <c r="G99" s="311"/>
      <c r="P99" s="196"/>
    </row>
    <row r="100" spans="2:16" ht="18">
      <c r="B100" s="374" t="s">
        <v>137</v>
      </c>
      <c r="C100" s="374"/>
      <c r="D100" s="374"/>
      <c r="P100" s="196"/>
    </row>
    <row r="101" spans="2:16" ht="16.5">
      <c r="B101" s="378" t="s">
        <v>59</v>
      </c>
      <c r="C101" s="375"/>
      <c r="D101" s="375"/>
      <c r="P101" s="196"/>
    </row>
    <row r="102" spans="2:16" ht="15.75">
      <c r="B102" s="376" t="str">
        <f>+B9</f>
        <v>Al 31 de julio de 2021</v>
      </c>
      <c r="C102" s="376"/>
      <c r="D102" s="297"/>
      <c r="P102" s="196"/>
    </row>
    <row r="103" spans="2:16" s="77" customFormat="1" ht="6.75" customHeight="1">
      <c r="B103" s="544"/>
      <c r="C103" s="544"/>
      <c r="D103" s="544"/>
      <c r="E103" s="212"/>
      <c r="P103" s="197"/>
    </row>
    <row r="104" spans="2:16" ht="16.5" customHeight="1">
      <c r="B104" s="555" t="s">
        <v>97</v>
      </c>
      <c r="C104" s="634" t="s">
        <v>87</v>
      </c>
      <c r="D104" s="636" t="s">
        <v>164</v>
      </c>
      <c r="P104" s="196"/>
    </row>
    <row r="105" spans="2:16" s="111" customFormat="1" ht="16.5" customHeight="1">
      <c r="B105" s="556"/>
      <c r="C105" s="635"/>
      <c r="D105" s="637"/>
      <c r="E105" s="213"/>
      <c r="G105" s="315"/>
      <c r="P105" s="198"/>
    </row>
    <row r="106" spans="2:16" s="111" customFormat="1" ht="9.75" customHeight="1">
      <c r="B106" s="149"/>
      <c r="C106" s="100"/>
      <c r="D106" s="112"/>
      <c r="E106" s="213"/>
      <c r="G106" s="315"/>
      <c r="P106" s="198"/>
    </row>
    <row r="107" spans="2:16" s="77" customFormat="1" ht="19.5" customHeight="1">
      <c r="B107" s="79" t="s">
        <v>202</v>
      </c>
      <c r="C107" s="510">
        <f>+C109+C112</f>
        <v>242951.1274</v>
      </c>
      <c r="D107" s="510">
        <f>+D109+D112</f>
        <v>982494.3592</v>
      </c>
      <c r="E107" s="212"/>
      <c r="G107" s="301"/>
      <c r="H107" s="301"/>
      <c r="P107" s="197"/>
    </row>
    <row r="108" spans="2:16" s="77" customFormat="1" ht="9.75" customHeight="1">
      <c r="B108" s="79"/>
      <c r="C108" s="510"/>
      <c r="D108" s="510"/>
      <c r="E108" s="212"/>
      <c r="G108" s="301"/>
      <c r="H108" s="301"/>
      <c r="P108" s="197"/>
    </row>
    <row r="109" spans="2:16" s="77" customFormat="1" ht="16.5" customHeight="1">
      <c r="B109" s="78" t="s">
        <v>25</v>
      </c>
      <c r="C109" s="381">
        <f>SUM(C110:C110)</f>
        <v>0</v>
      </c>
      <c r="D109" s="381">
        <f>SUM(D110:D110)</f>
        <v>0</v>
      </c>
      <c r="E109" s="212"/>
      <c r="G109" s="301"/>
      <c r="H109" s="301"/>
      <c r="P109" s="197"/>
    </row>
    <row r="110" spans="2:16" s="77" customFormat="1" ht="16.5" customHeight="1" hidden="1">
      <c r="B110" s="433"/>
      <c r="C110" s="495">
        <v>0</v>
      </c>
      <c r="D110" s="382">
        <f>ROUND(+C110*$E$9,5)</f>
        <v>0</v>
      </c>
      <c r="E110" s="212"/>
      <c r="G110" s="301"/>
      <c r="H110" s="301"/>
      <c r="P110" s="197"/>
    </row>
    <row r="111" spans="2:16" s="77" customFormat="1" ht="12" customHeight="1">
      <c r="B111" s="79"/>
      <c r="C111" s="510"/>
      <c r="D111" s="510"/>
      <c r="E111" s="212"/>
      <c r="G111" s="301"/>
      <c r="H111" s="301"/>
      <c r="P111" s="197"/>
    </row>
    <row r="112" spans="2:16" s="77" customFormat="1" ht="16.5" customHeight="1">
      <c r="B112" s="78" t="s">
        <v>24</v>
      </c>
      <c r="C112" s="381">
        <f>SUM(C113:C122)</f>
        <v>242951.1274</v>
      </c>
      <c r="D112" s="381">
        <f>SUM(D113:D122)</f>
        <v>982494.3592</v>
      </c>
      <c r="E112" s="212"/>
      <c r="F112" s="212"/>
      <c r="G112" s="316"/>
      <c r="H112" s="316"/>
      <c r="P112" s="197"/>
    </row>
    <row r="113" spans="2:16" s="77" customFormat="1" ht="16.5" customHeight="1">
      <c r="B113" s="515" t="s">
        <v>244</v>
      </c>
      <c r="C113" s="495">
        <v>74060.33641000003</v>
      </c>
      <c r="D113" s="382">
        <f aca="true" t="shared" si="3" ref="D113:D122">ROUND(+C113*$E$9,5)</f>
        <v>299500.00044</v>
      </c>
      <c r="E113" s="212"/>
      <c r="F113" s="212"/>
      <c r="G113" s="316"/>
      <c r="H113" s="316"/>
      <c r="P113" s="197"/>
    </row>
    <row r="114" spans="2:16" s="77" customFormat="1" ht="16.5" customHeight="1">
      <c r="B114" s="515" t="s">
        <v>243</v>
      </c>
      <c r="C114" s="495">
        <v>44015.82595000001</v>
      </c>
      <c r="D114" s="382">
        <f t="shared" si="3"/>
        <v>178000.00014</v>
      </c>
      <c r="E114" s="212"/>
      <c r="F114" s="212"/>
      <c r="G114" s="316"/>
      <c r="P114" s="197"/>
    </row>
    <row r="115" spans="2:16" s="77" customFormat="1" ht="16.5" customHeight="1">
      <c r="B115" s="515" t="s">
        <v>245</v>
      </c>
      <c r="C115" s="495">
        <v>41256.343949999995</v>
      </c>
      <c r="D115" s="382">
        <f t="shared" si="3"/>
        <v>166840.65493</v>
      </c>
      <c r="E115" s="212"/>
      <c r="F115" s="212"/>
      <c r="G115" s="316"/>
      <c r="P115" s="197"/>
    </row>
    <row r="116" spans="2:16" s="77" customFormat="1" ht="16.5" customHeight="1">
      <c r="B116" s="379" t="s">
        <v>168</v>
      </c>
      <c r="C116" s="495">
        <v>34248.26904</v>
      </c>
      <c r="D116" s="382">
        <f t="shared" si="3"/>
        <v>138500</v>
      </c>
      <c r="E116" s="212"/>
      <c r="F116" s="212"/>
      <c r="G116" s="316"/>
      <c r="P116" s="197"/>
    </row>
    <row r="117" spans="2:16" s="77" customFormat="1" ht="16.5" customHeight="1">
      <c r="B117" s="515" t="s">
        <v>247</v>
      </c>
      <c r="C117" s="495">
        <v>18657.0308</v>
      </c>
      <c r="D117" s="382">
        <f t="shared" si="3"/>
        <v>75449.03256</v>
      </c>
      <c r="E117" s="212"/>
      <c r="F117" s="212"/>
      <c r="G117" s="316"/>
      <c r="P117" s="197"/>
    </row>
    <row r="118" spans="2:16" s="77" customFormat="1" ht="16.5" customHeight="1">
      <c r="B118" s="515" t="s">
        <v>246</v>
      </c>
      <c r="C118" s="495">
        <v>16320.474799999998</v>
      </c>
      <c r="D118" s="382">
        <f t="shared" si="3"/>
        <v>66000.00009</v>
      </c>
      <c r="E118" s="212"/>
      <c r="F118" s="212"/>
      <c r="G118" s="316"/>
      <c r="P118" s="197"/>
    </row>
    <row r="119" spans="2:16" s="77" customFormat="1" ht="16.5" customHeight="1">
      <c r="B119" s="515" t="s">
        <v>248</v>
      </c>
      <c r="C119" s="495">
        <v>10200.79895</v>
      </c>
      <c r="D119" s="382">
        <f t="shared" si="3"/>
        <v>41252.03095</v>
      </c>
      <c r="E119" s="212"/>
      <c r="F119" s="212"/>
      <c r="G119" s="316"/>
      <c r="P119" s="197"/>
    </row>
    <row r="120" spans="2:16" s="77" customFormat="1" ht="16.5" customHeight="1">
      <c r="B120" s="515" t="s">
        <v>249</v>
      </c>
      <c r="C120" s="495">
        <v>2720.07913</v>
      </c>
      <c r="D120" s="382">
        <f t="shared" si="3"/>
        <v>11000</v>
      </c>
      <c r="E120" s="212"/>
      <c r="F120" s="212"/>
      <c r="G120" s="316"/>
      <c r="P120" s="197"/>
    </row>
    <row r="121" spans="2:16" s="77" customFormat="1" ht="16.5" customHeight="1" hidden="1">
      <c r="B121" s="525" t="s">
        <v>238</v>
      </c>
      <c r="C121" s="495"/>
      <c r="D121" s="382">
        <f t="shared" si="3"/>
        <v>0</v>
      </c>
      <c r="E121" s="212"/>
      <c r="F121" s="212"/>
      <c r="G121" s="316"/>
      <c r="P121" s="197"/>
    </row>
    <row r="122" spans="2:16" s="77" customFormat="1" ht="16.5" customHeight="1" hidden="1">
      <c r="B122" s="515" t="s">
        <v>257</v>
      </c>
      <c r="C122" s="495">
        <v>1471.96837</v>
      </c>
      <c r="D122" s="382">
        <f t="shared" si="3"/>
        <v>5952.64009</v>
      </c>
      <c r="E122" s="212"/>
      <c r="F122" s="212"/>
      <c r="G122" s="316"/>
      <c r="P122" s="197"/>
    </row>
    <row r="123" spans="2:16" s="77" customFormat="1" ht="9.75" customHeight="1">
      <c r="B123" s="150"/>
      <c r="C123" s="382"/>
      <c r="D123" s="382"/>
      <c r="E123" s="212"/>
      <c r="F123" s="212"/>
      <c r="G123" s="316"/>
      <c r="P123" s="197"/>
    </row>
    <row r="124" spans="2:16" s="77" customFormat="1" ht="15" customHeight="1">
      <c r="B124" s="638" t="s">
        <v>28</v>
      </c>
      <c r="C124" s="596">
        <f>+C107</f>
        <v>242951.1274</v>
      </c>
      <c r="D124" s="596">
        <f>+D107</f>
        <v>982494.3592</v>
      </c>
      <c r="E124" s="212"/>
      <c r="F124" s="212"/>
      <c r="G124" s="316"/>
      <c r="P124" s="197"/>
    </row>
    <row r="125" spans="2:16" s="111" customFormat="1" ht="15" customHeight="1">
      <c r="B125" s="639"/>
      <c r="C125" s="597"/>
      <c r="D125" s="597"/>
      <c r="E125" s="212"/>
      <c r="F125" s="448"/>
      <c r="G125" s="316"/>
      <c r="P125" s="198"/>
    </row>
    <row r="126" spans="2:16" s="77" customFormat="1" ht="7.5" customHeight="1">
      <c r="B126" s="151"/>
      <c r="C126" s="101"/>
      <c r="D126" s="101"/>
      <c r="E126" s="212"/>
      <c r="F126" s="448"/>
      <c r="P126" s="197"/>
    </row>
    <row r="127" spans="1:16" ht="14.25" customHeight="1">
      <c r="A127" s="302"/>
      <c r="B127" s="303" t="s">
        <v>204</v>
      </c>
      <c r="C127" s="390"/>
      <c r="D127" s="390"/>
      <c r="P127" s="196"/>
    </row>
    <row r="128" spans="3:16" ht="12.75">
      <c r="C128" s="314"/>
      <c r="D128" s="314"/>
      <c r="P128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4:B125"/>
    <mergeCell ref="C124:C125"/>
    <mergeCell ref="D124:D125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30" t="s">
        <v>18</v>
      </c>
      <c r="C6" s="530"/>
      <c r="D6" s="530"/>
      <c r="E6" s="530"/>
      <c r="F6" s="530"/>
      <c r="G6" s="530"/>
    </row>
    <row r="7" spans="2:7" s="4" customFormat="1" ht="15.75">
      <c r="B7" s="531" t="str">
        <f>+Indice!B7</f>
        <v>AL 31 DE JULIO 2021</v>
      </c>
      <c r="C7" s="531"/>
      <c r="D7" s="531"/>
      <c r="E7" s="531"/>
      <c r="F7" s="531"/>
      <c r="G7" s="531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5" t="s">
        <v>143</v>
      </c>
      <c r="E9" s="535"/>
      <c r="F9" s="535"/>
      <c r="G9" s="535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6" t="s">
        <v>132</v>
      </c>
      <c r="E13" s="536"/>
      <c r="F13" s="536"/>
      <c r="G13" s="536"/>
      <c r="H13" s="536"/>
    </row>
    <row r="14" spans="2:8" ht="15.75" customHeight="1">
      <c r="B14" s="52"/>
      <c r="C14" s="52"/>
      <c r="D14" s="536" t="s">
        <v>133</v>
      </c>
      <c r="E14" s="536"/>
      <c r="F14" s="536"/>
      <c r="G14" s="536"/>
      <c r="H14" s="536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3">
        <v>44408</v>
      </c>
      <c r="E22" s="534"/>
      <c r="F22" s="534"/>
      <c r="G22" s="534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4" t="s">
        <v>17</v>
      </c>
      <c r="E24" s="534"/>
      <c r="F24" s="534"/>
      <c r="G24" s="534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5" t="s">
        <v>152</v>
      </c>
      <c r="E26" s="535"/>
      <c r="F26" s="535"/>
      <c r="G26" s="535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44439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6" t="s">
        <v>161</v>
      </c>
      <c r="E37" s="536"/>
      <c r="F37" s="536"/>
      <c r="G37" s="536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4" t="s">
        <v>172</v>
      </c>
      <c r="E39" s="534"/>
      <c r="F39" s="534"/>
      <c r="G39" s="534"/>
      <c r="H39" s="537">
        <v>4.044</v>
      </c>
    </row>
    <row r="40" spans="4:8" ht="15.75" customHeight="1">
      <c r="D40" s="534"/>
      <c r="E40" s="534"/>
      <c r="F40" s="534"/>
      <c r="G40" s="534"/>
      <c r="H40" s="537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30" t="s">
        <v>174</v>
      </c>
      <c r="C5" s="530"/>
      <c r="D5" s="530"/>
      <c r="E5" s="530"/>
      <c r="F5" s="530"/>
      <c r="G5" s="530"/>
      <c r="H5" s="530"/>
      <c r="I5" s="530"/>
      <c r="J5" s="530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43" t="s">
        <v>18</v>
      </c>
      <c r="C6" s="543"/>
      <c r="D6" s="543"/>
      <c r="E6" s="543"/>
      <c r="F6" s="543"/>
      <c r="G6" s="543"/>
      <c r="H6" s="543"/>
      <c r="I6" s="543"/>
      <c r="J6" s="543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31" t="str">
        <f>+Indice!B7</f>
        <v>AL 31 DE JULIO 2021</v>
      </c>
      <c r="C7" s="531"/>
      <c r="D7" s="531"/>
      <c r="E7" s="531"/>
      <c r="F7" s="531"/>
      <c r="G7" s="531"/>
      <c r="H7" s="531"/>
      <c r="I7" s="531"/>
      <c r="J7" s="531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31"/>
      <c r="C8" s="531"/>
      <c r="D8" s="531"/>
      <c r="E8" s="531"/>
      <c r="F8" s="531"/>
      <c r="G8" s="531"/>
      <c r="H8" s="531"/>
      <c r="I8" s="531"/>
      <c r="J8" s="531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44" t="s">
        <v>162</v>
      </c>
      <c r="C9" s="544"/>
      <c r="D9" s="544"/>
      <c r="E9" s="544"/>
      <c r="F9" s="544"/>
      <c r="G9" s="544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8" t="s">
        <v>154</v>
      </c>
      <c r="C11" s="539"/>
      <c r="D11" s="539"/>
      <c r="E11" s="540"/>
      <c r="G11" s="538" t="s">
        <v>31</v>
      </c>
      <c r="H11" s="539"/>
      <c r="I11" s="539"/>
      <c r="J11" s="540"/>
    </row>
    <row r="12" spans="2:10" ht="19.5" customHeight="1">
      <c r="B12" s="121"/>
      <c r="C12" s="416" t="s">
        <v>77</v>
      </c>
      <c r="D12" s="417" t="s">
        <v>163</v>
      </c>
      <c r="E12" s="413" t="s">
        <v>27</v>
      </c>
      <c r="G12" s="124"/>
      <c r="H12" s="410" t="s">
        <v>77</v>
      </c>
      <c r="I12" s="410" t="str">
        <f>+D12</f>
        <v>Soles</v>
      </c>
      <c r="J12" s="494" t="s">
        <v>230</v>
      </c>
    </row>
    <row r="13" spans="2:15" ht="19.5" customHeight="1">
      <c r="B13" s="125" t="s">
        <v>73</v>
      </c>
      <c r="C13" s="411">
        <f>(+'DEP-C2'!C18+'DEP-C2'!C42)/1000</f>
        <v>7128.95570324</v>
      </c>
      <c r="D13" s="411">
        <f>(+'DEP-C2'!D18+'DEP-C2'!D42)/1000</f>
        <v>28829.4968639</v>
      </c>
      <c r="E13" s="414">
        <f>+C13/$C$15</f>
        <v>0.7958091498905135</v>
      </c>
      <c r="G13" s="125" t="s">
        <v>74</v>
      </c>
      <c r="H13" s="411">
        <f>+C21+C22+C23+C24</f>
        <v>3049.3002485999996</v>
      </c>
      <c r="I13" s="411">
        <f>+D21+D22+D23+D24</f>
        <v>12331.37020536</v>
      </c>
      <c r="J13" s="492">
        <f>+H13/$H$15</f>
        <v>0.340395022723513</v>
      </c>
      <c r="N13" s="200"/>
      <c r="O13" s="200"/>
    </row>
    <row r="14" spans="2:15" ht="19.5" customHeight="1">
      <c r="B14" s="125" t="s">
        <v>72</v>
      </c>
      <c r="C14" s="411">
        <f>(+'DEP-C2'!C14+'DEP-C2'!C38)/1000</f>
        <v>1829.166610660001</v>
      </c>
      <c r="D14" s="411">
        <f>(+'DEP-C2'!D14+'DEP-C2'!D38)/1000</f>
        <v>7397.149773505599</v>
      </c>
      <c r="E14" s="414">
        <f>+C14/$C$15</f>
        <v>0.20419085010948643</v>
      </c>
      <c r="G14" s="125" t="s">
        <v>75</v>
      </c>
      <c r="H14" s="411">
        <f>+C20</f>
        <v>5908.8220653</v>
      </c>
      <c r="I14" s="411">
        <f>+D20</f>
        <v>23895.27643208</v>
      </c>
      <c r="J14" s="492">
        <f>+H14/$H$15</f>
        <v>0.6596049772764869</v>
      </c>
      <c r="O14" s="156"/>
    </row>
    <row r="15" spans="2:15" ht="19.5" customHeight="1">
      <c r="B15" s="126" t="s">
        <v>28</v>
      </c>
      <c r="C15" s="412">
        <f>SUM(C13:C14)</f>
        <v>8958.122313900001</v>
      </c>
      <c r="D15" s="412">
        <f>SUM(D13:D14)</f>
        <v>36226.646637405596</v>
      </c>
      <c r="E15" s="415">
        <f>SUM(E13:E14)</f>
        <v>1</v>
      </c>
      <c r="G15" s="126" t="s">
        <v>28</v>
      </c>
      <c r="H15" s="412">
        <f>SUM(H13:H14)</f>
        <v>8958.1223139</v>
      </c>
      <c r="I15" s="412">
        <f>SUM(I13:I14)</f>
        <v>36226.646637440004</v>
      </c>
      <c r="J15" s="493">
        <f>SUM(J13:J14)</f>
        <v>1</v>
      </c>
      <c r="O15" s="156"/>
    </row>
    <row r="16" spans="2:10" ht="19.5" customHeight="1">
      <c r="B16" s="123"/>
      <c r="C16" s="501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38" t="s">
        <v>68</v>
      </c>
      <c r="C18" s="539"/>
      <c r="D18" s="539"/>
      <c r="E18" s="540"/>
      <c r="G18" s="538" t="s">
        <v>62</v>
      </c>
      <c r="H18" s="539"/>
      <c r="I18" s="539"/>
      <c r="J18" s="540"/>
      <c r="L18" s="127"/>
    </row>
    <row r="19" spans="2:10" ht="19.5" customHeight="1">
      <c r="B19" s="124"/>
      <c r="C19" s="410" t="s">
        <v>77</v>
      </c>
      <c r="D19" s="410" t="str">
        <f>+D12</f>
        <v>Soles</v>
      </c>
      <c r="E19" s="418" t="s">
        <v>27</v>
      </c>
      <c r="G19" s="124"/>
      <c r="H19" s="410" t="s">
        <v>77</v>
      </c>
      <c r="I19" s="410" t="str">
        <f>+I12</f>
        <v>Soles</v>
      </c>
      <c r="J19" s="418" t="s">
        <v>27</v>
      </c>
    </row>
    <row r="20" spans="2:12" ht="19.5" customHeight="1">
      <c r="B20" s="125" t="s">
        <v>75</v>
      </c>
      <c r="C20" s="411">
        <f>+(+'DEP-C7'!D20+'DEP-C7'!D35)/1000</f>
        <v>5908.8220653</v>
      </c>
      <c r="D20" s="411">
        <f>+(+'DEP-C7'!E20+'DEP-C7'!E35)/1000</f>
        <v>23895.27643208</v>
      </c>
      <c r="E20" s="414">
        <f>+C20/$C$25</f>
        <v>0.6596049772764869</v>
      </c>
      <c r="G20" s="125" t="s">
        <v>77</v>
      </c>
      <c r="H20" s="411">
        <f>('DEP-C3'!C22+'DEP-C3'!C57)/1000</f>
        <v>6699.931978669999</v>
      </c>
      <c r="I20" s="411">
        <f>('DEP-C3'!D22+'DEP-C3'!D57)/1000</f>
        <v>27094.524921750002</v>
      </c>
      <c r="J20" s="414">
        <f>+H20/$H$24</f>
        <v>0.7479170013423408</v>
      </c>
      <c r="L20" s="157"/>
    </row>
    <row r="21" spans="2:12" ht="19.5" customHeight="1">
      <c r="B21" s="125" t="s">
        <v>76</v>
      </c>
      <c r="C21" s="411">
        <f>+(+'DEP-C7'!D15+'DEP-C7'!D30+'DEP-C7'!D73)/1000</f>
        <v>1622.2207332700002</v>
      </c>
      <c r="D21" s="411">
        <f>+(+'DEP-C7'!E15+'DEP-C7'!E30+'DEP-C7'!E73)/1000</f>
        <v>6560.26064535</v>
      </c>
      <c r="E21" s="414">
        <f>+C21/$C$25</f>
        <v>0.1810893707884361</v>
      </c>
      <c r="G21" s="125" t="s">
        <v>163</v>
      </c>
      <c r="H21" s="411">
        <f>('DEP-C3'!C14+'DEP-C3'!C49)/1000</f>
        <v>1793.3651082000008</v>
      </c>
      <c r="I21" s="411">
        <f>(+'DEP-C3'!D14+'DEP-C3'!D49)/1000</f>
        <v>7252.368497570001</v>
      </c>
      <c r="J21" s="414">
        <f>+H21/$H$24</f>
        <v>0.20019430918210393</v>
      </c>
      <c r="L21" s="170"/>
    </row>
    <row r="22" spans="2:12" ht="19.5" customHeight="1">
      <c r="B22" s="125" t="s">
        <v>215</v>
      </c>
      <c r="C22" s="411">
        <f>+('DEP-C7'!D22+'DEP-C7'!D38)/1000</f>
        <v>567.16716481</v>
      </c>
      <c r="D22" s="411">
        <f>+('DEP-C7'!E22+'DEP-C7'!E38)/1000</f>
        <v>2293.6240145</v>
      </c>
      <c r="E22" s="414">
        <f>+C22/$C$25</f>
        <v>0.06331317489714858</v>
      </c>
      <c r="G22" s="125" t="s">
        <v>78</v>
      </c>
      <c r="H22" s="411">
        <f>+'DEP-C3'!C26/1000</f>
        <v>205.19101752000003</v>
      </c>
      <c r="I22" s="411">
        <f>+'DEP-C3'!D26/1000</f>
        <v>829.79247486</v>
      </c>
      <c r="J22" s="414">
        <f>+H22/$H$24</f>
        <v>0.0229055833722668</v>
      </c>
      <c r="L22" s="201"/>
    </row>
    <row r="23" spans="2:12" ht="19.5" customHeight="1">
      <c r="B23" s="125" t="s">
        <v>126</v>
      </c>
      <c r="C23" s="411">
        <f>+('DEP-C7'!D18+'DEP-C7'!D33+'DEP-C7'!D82)/1000</f>
        <v>391.6212156799996</v>
      </c>
      <c r="D23" s="411">
        <f>(+'DEP-C7'!E18+'DEP-C7'!E33+'DEP-C7'!E82)/1000</f>
        <v>1583.71619621</v>
      </c>
      <c r="E23" s="414">
        <f>+C23/$C$25</f>
        <v>0.04371688641405743</v>
      </c>
      <c r="G23" s="125" t="s">
        <v>79</v>
      </c>
      <c r="H23" s="235">
        <f>+'DEP-C3'!C30/1000</f>
        <v>259.63420950999995</v>
      </c>
      <c r="I23" s="235">
        <f>+'DEP-C3'!D30/1000</f>
        <v>1049.9607432599998</v>
      </c>
      <c r="J23" s="414">
        <f>+H23/$H$24</f>
        <v>0.028983106103288497</v>
      </c>
      <c r="L23" s="170"/>
    </row>
    <row r="24" spans="2:12" ht="19.5" customHeight="1">
      <c r="B24" s="125" t="s">
        <v>36</v>
      </c>
      <c r="C24" s="411">
        <f>+('DEP-C7'!D25+'DEP-C7'!D40+'DEP-C7'!D84)/1000</f>
        <v>468.29113484000004</v>
      </c>
      <c r="D24" s="411">
        <f>+('DEP-C7'!E25+'DEP-C7'!E40+'DEP-C7'!E84)/1000</f>
        <v>1893.7693493000002</v>
      </c>
      <c r="E24" s="414">
        <f>+C24/$C$25</f>
        <v>0.05227559062387096</v>
      </c>
      <c r="G24" s="126" t="s">
        <v>28</v>
      </c>
      <c r="H24" s="412">
        <f>SUM(H20:H23)</f>
        <v>8958.1223139</v>
      </c>
      <c r="I24" s="412">
        <f>SUM(I20:I23)</f>
        <v>36226.646637440004</v>
      </c>
      <c r="J24" s="415">
        <f>SUM(J20:J23)</f>
        <v>1</v>
      </c>
      <c r="L24" s="202"/>
    </row>
    <row r="25" spans="2:5" ht="19.5" customHeight="1">
      <c r="B25" s="126" t="s">
        <v>28</v>
      </c>
      <c r="C25" s="412">
        <f>SUM(C20:C24)</f>
        <v>8958.1223139</v>
      </c>
      <c r="D25" s="412">
        <f>SUM(D20:D24)</f>
        <v>36226.646637440004</v>
      </c>
      <c r="E25" s="415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38" t="s">
        <v>29</v>
      </c>
      <c r="C28" s="539"/>
      <c r="D28" s="539"/>
      <c r="E28" s="540"/>
      <c r="G28" s="538" t="s">
        <v>30</v>
      </c>
      <c r="H28" s="539"/>
      <c r="I28" s="539"/>
      <c r="J28" s="540"/>
    </row>
    <row r="29" spans="2:10" ht="19.5" customHeight="1">
      <c r="B29" s="124"/>
      <c r="C29" s="410" t="s">
        <v>77</v>
      </c>
      <c r="D29" s="410" t="str">
        <f>+D19</f>
        <v>Soles</v>
      </c>
      <c r="E29" s="418" t="s">
        <v>27</v>
      </c>
      <c r="G29" s="124"/>
      <c r="H29" s="122" t="s">
        <v>77</v>
      </c>
      <c r="I29" s="122" t="str">
        <f>+I19</f>
        <v>Soles</v>
      </c>
      <c r="J29" s="419" t="s">
        <v>27</v>
      </c>
    </row>
    <row r="30" spans="2:14" ht="19.5" customHeight="1">
      <c r="B30" s="125" t="s">
        <v>92</v>
      </c>
      <c r="C30" s="411">
        <f>(+'DEP-C2'!C15+'DEP-C2'!C19+'DEP-C2'!C43)/1000</f>
        <v>3819.3765157900016</v>
      </c>
      <c r="D30" s="411">
        <f>(+'DEP-C2'!D15+'DEP-C2'!D19+'DEP-C2'!D43)/1000</f>
        <v>15445.55862985</v>
      </c>
      <c r="E30" s="414">
        <f>+C30/$C$32</f>
        <v>0.4263590495815859</v>
      </c>
      <c r="G30" s="125" t="s">
        <v>80</v>
      </c>
      <c r="H30" s="411">
        <f>'DEP-C2'!C22/1000</f>
        <v>8715.171186500002</v>
      </c>
      <c r="I30" s="411">
        <f>+'DEP-C2'!D22/1000</f>
        <v>35244.1522782</v>
      </c>
      <c r="J30" s="414">
        <f>+H30/$H$32</f>
        <v>0.9728792353032486</v>
      </c>
      <c r="N30" s="157"/>
    </row>
    <row r="31" spans="2:14" ht="19.5" customHeight="1">
      <c r="B31" s="125" t="s">
        <v>93</v>
      </c>
      <c r="C31" s="411">
        <f>(+'DEP-C2'!C16+'DEP-C2'!C20+'DEP-C2'!C40+'DEP-C2'!C44)/1000</f>
        <v>5138.74579811</v>
      </c>
      <c r="D31" s="411">
        <f>(+'DEP-C2'!D16+'DEP-C2'!D20+'DEP-C2'!D40+'DEP-C2'!D44)/1000</f>
        <v>20781.0880075556</v>
      </c>
      <c r="E31" s="414">
        <f>+C31/$C$32</f>
        <v>0.5736409504184141</v>
      </c>
      <c r="G31" s="125" t="s">
        <v>81</v>
      </c>
      <c r="H31" s="411">
        <f>+'DEP-C2'!C46/1000</f>
        <v>242.9511273999998</v>
      </c>
      <c r="I31" s="411">
        <f>+'DEP-C2'!D46/1000</f>
        <v>982.494359205599</v>
      </c>
      <c r="J31" s="414">
        <f>+H31/$H$32</f>
        <v>0.027120764696751364</v>
      </c>
      <c r="N31" s="158"/>
    </row>
    <row r="32" spans="2:14" ht="19.5" customHeight="1">
      <c r="B32" s="126" t="s">
        <v>28</v>
      </c>
      <c r="C32" s="412">
        <f>SUM(C30:C31)</f>
        <v>8958.122313900001</v>
      </c>
      <c r="D32" s="412">
        <f>SUM(D30:D31)</f>
        <v>36226.6466374056</v>
      </c>
      <c r="E32" s="415">
        <f>SUM(E30:E31)</f>
        <v>1</v>
      </c>
      <c r="G32" s="126" t="s">
        <v>28</v>
      </c>
      <c r="H32" s="412">
        <f>SUM(H30:H31)</f>
        <v>8958.122313900001</v>
      </c>
      <c r="I32" s="412">
        <f>SUM(I30:I31)</f>
        <v>36226.6466374056</v>
      </c>
      <c r="J32" s="415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41"/>
      <c r="C37" s="542"/>
      <c r="D37" s="542"/>
      <c r="E37" s="542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30" t="s">
        <v>175</v>
      </c>
      <c r="C5" s="530"/>
      <c r="D5" s="530"/>
      <c r="E5" s="530"/>
      <c r="F5" s="530"/>
      <c r="G5" s="530"/>
      <c r="H5" s="530"/>
    </row>
    <row r="6" spans="2:8" s="4" customFormat="1" ht="19.5" customHeight="1">
      <c r="B6" s="543" t="s">
        <v>18</v>
      </c>
      <c r="C6" s="543"/>
      <c r="D6" s="543"/>
      <c r="E6" s="543"/>
      <c r="F6" s="543"/>
      <c r="G6" s="543"/>
      <c r="H6" s="543"/>
    </row>
    <row r="7" spans="2:8" s="4" customFormat="1" ht="18" customHeight="1">
      <c r="B7" s="531" t="str">
        <f>+Indice!B7</f>
        <v>AL 31 DE JULIO 2021</v>
      </c>
      <c r="C7" s="531"/>
      <c r="D7" s="531"/>
      <c r="E7" s="531"/>
      <c r="F7" s="531"/>
      <c r="G7" s="531"/>
      <c r="H7" s="531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5" t="str">
        <f>+Resumen!B11:E11</f>
        <v>TIPO DE DEUDA</v>
      </c>
      <c r="C10" s="545"/>
      <c r="D10" s="545"/>
      <c r="E10" s="90"/>
      <c r="F10" s="545" t="s">
        <v>31</v>
      </c>
      <c r="G10" s="545"/>
      <c r="H10" s="545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5" t="str">
        <f>+Resumen!B18:E18</f>
        <v>GRUPO DEL ACREEDOR</v>
      </c>
      <c r="C28" s="545"/>
      <c r="D28" s="545"/>
      <c r="F28" s="545" t="s">
        <v>62</v>
      </c>
      <c r="G28" s="545"/>
      <c r="H28" s="545"/>
    </row>
    <row r="48" spans="2:8" s="23" customFormat="1" ht="16.5">
      <c r="B48" s="545" t="s">
        <v>29</v>
      </c>
      <c r="C48" s="545"/>
      <c r="D48" s="545"/>
      <c r="F48" s="545" t="s">
        <v>30</v>
      </c>
      <c r="G48" s="545"/>
      <c r="H48" s="545"/>
    </row>
    <row r="66" spans="2:8" ht="30" customHeight="1">
      <c r="B66" s="548"/>
      <c r="C66" s="548"/>
      <c r="D66" s="548"/>
      <c r="E66" s="548"/>
      <c r="F66" s="548"/>
      <c r="G66" s="548"/>
      <c r="H66" s="548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6"/>
      <c r="C69" s="547"/>
      <c r="D69" s="547"/>
      <c r="E69" s="547"/>
      <c r="F69" s="51"/>
      <c r="G69" s="51"/>
      <c r="H69" s="51"/>
    </row>
    <row r="70" spans="2:8" ht="15.75" customHeight="1">
      <c r="B70" s="546"/>
      <c r="C70" s="547"/>
      <c r="D70" s="547"/>
      <c r="E70" s="547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customWidth="1"/>
    <col min="30" max="32" width="9.140625" style="9" customWidth="1"/>
    <col min="33" max="37" width="9.140625" style="9" hidden="1" customWidth="1"/>
    <col min="38" max="223" width="11.421875" style="9" customWidth="1"/>
    <col min="224" max="224" width="25.7109375" style="9" customWidth="1"/>
    <col min="225" max="16384" width="15.7109375" style="9" customWidth="1"/>
  </cols>
  <sheetData>
    <row r="1" ht="12.75">
      <c r="B1" s="8"/>
    </row>
    <row r="2" spans="2:22" s="11" customFormat="1" ht="18">
      <c r="B2" s="583"/>
      <c r="C2" s="583"/>
      <c r="D2" s="583"/>
      <c r="E2" s="583"/>
      <c r="F2" s="583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3"/>
      <c r="C3" s="583"/>
      <c r="D3" s="583"/>
      <c r="E3" s="583"/>
      <c r="F3" s="583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0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260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9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38" s="27" customFormat="1" ht="18" customHeight="1">
      <c r="B12" s="553" t="s">
        <v>141</v>
      </c>
      <c r="C12" s="555">
        <v>2009</v>
      </c>
      <c r="D12" s="586">
        <v>2010</v>
      </c>
      <c r="E12" s="584">
        <v>2011</v>
      </c>
      <c r="F12" s="555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5">
        <v>2013</v>
      </c>
      <c r="S12" s="555">
        <v>2014</v>
      </c>
      <c r="T12" s="579">
        <v>2015</v>
      </c>
      <c r="U12" s="563">
        <v>2016</v>
      </c>
      <c r="V12" s="581">
        <v>2017</v>
      </c>
      <c r="W12" s="549">
        <v>2018</v>
      </c>
      <c r="X12" s="549">
        <v>2019</v>
      </c>
      <c r="Y12" s="549">
        <v>2020</v>
      </c>
      <c r="Z12" s="576">
        <v>2021</v>
      </c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8"/>
      <c r="AL12" s="497"/>
    </row>
    <row r="13" spans="2:38" s="27" customFormat="1" ht="18" customHeight="1">
      <c r="B13" s="554"/>
      <c r="C13" s="556"/>
      <c r="D13" s="587"/>
      <c r="E13" s="585"/>
      <c r="F13" s="556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6"/>
      <c r="S13" s="556"/>
      <c r="T13" s="580"/>
      <c r="U13" s="564"/>
      <c r="V13" s="582"/>
      <c r="W13" s="550"/>
      <c r="X13" s="550"/>
      <c r="Y13" s="550"/>
      <c r="Z13" s="496" t="s">
        <v>98</v>
      </c>
      <c r="AA13" s="428" t="s">
        <v>99</v>
      </c>
      <c r="AB13" s="432" t="s">
        <v>104</v>
      </c>
      <c r="AC13" s="434" t="s">
        <v>106</v>
      </c>
      <c r="AD13" s="439" t="s">
        <v>236</v>
      </c>
      <c r="AE13" s="432" t="s">
        <v>123</v>
      </c>
      <c r="AF13" s="441" t="s">
        <v>142</v>
      </c>
      <c r="AG13" s="450" t="s">
        <v>144</v>
      </c>
      <c r="AH13" s="454" t="s">
        <v>251</v>
      </c>
      <c r="AI13" s="484" t="s">
        <v>149</v>
      </c>
      <c r="AJ13" s="441" t="s">
        <v>151</v>
      </c>
      <c r="AK13" s="483" t="s">
        <v>173</v>
      </c>
      <c r="AL13" s="497"/>
    </row>
    <row r="14" spans="2:38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51"/>
      <c r="W14" s="485"/>
      <c r="X14" s="485"/>
      <c r="Y14" s="442"/>
      <c r="Z14" s="402"/>
      <c r="AA14" s="429"/>
      <c r="AB14" s="182"/>
      <c r="AC14" s="429"/>
      <c r="AD14" s="440"/>
      <c r="AE14" s="182"/>
      <c r="AF14" s="442"/>
      <c r="AG14" s="451"/>
      <c r="AH14" s="403"/>
      <c r="AI14" s="485"/>
      <c r="AJ14" s="442"/>
      <c r="AK14" s="442"/>
      <c r="AL14" s="497"/>
    </row>
    <row r="15" spans="2:39" s="25" customFormat="1" ht="21.75" customHeight="1">
      <c r="B15" s="178" t="s">
        <v>34</v>
      </c>
      <c r="C15" s="490">
        <v>1389</v>
      </c>
      <c r="D15" s="490">
        <v>2144</v>
      </c>
      <c r="E15" s="488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30">
        <v>2816.8010528699997</v>
      </c>
      <c r="W15" s="486">
        <v>2585.67327702</v>
      </c>
      <c r="X15" s="486">
        <v>2512.4269972</v>
      </c>
      <c r="Y15" s="443">
        <v>2847.266591940001</v>
      </c>
      <c r="Z15" s="404">
        <v>2669.7649879099995</v>
      </c>
      <c r="AA15" s="430">
        <v>2280.8565583599984</v>
      </c>
      <c r="AB15" s="33">
        <v>2080.1915407399993</v>
      </c>
      <c r="AC15" s="430">
        <v>2002.289934100001</v>
      </c>
      <c r="AD15" s="400">
        <v>2000.7607678600002</v>
      </c>
      <c r="AE15" s="33">
        <v>1909.2826383400002</v>
      </c>
      <c r="AF15" s="509">
        <v>1829.166610660001</v>
      </c>
      <c r="AG15" s="452">
        <v>0</v>
      </c>
      <c r="AH15" s="405">
        <v>0</v>
      </c>
      <c r="AI15" s="486">
        <v>0</v>
      </c>
      <c r="AJ15" s="443">
        <v>0</v>
      </c>
      <c r="AK15" s="443">
        <v>0</v>
      </c>
      <c r="AL15" s="522"/>
      <c r="AM15" s="465"/>
    </row>
    <row r="16" spans="2:39" s="25" customFormat="1" ht="21.75" customHeight="1">
      <c r="B16" s="178" t="s">
        <v>33</v>
      </c>
      <c r="C16" s="490">
        <v>256</v>
      </c>
      <c r="D16" s="490">
        <v>389</v>
      </c>
      <c r="E16" s="488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30">
        <v>5985.46242653</v>
      </c>
      <c r="W16" s="486">
        <v>7233.929935290001</v>
      </c>
      <c r="X16" s="486">
        <v>6012.22120457</v>
      </c>
      <c r="Y16" s="443">
        <v>6614.97187366</v>
      </c>
      <c r="Z16" s="404">
        <v>6532.3018552</v>
      </c>
      <c r="AA16" s="430">
        <v>6254.41370703</v>
      </c>
      <c r="AB16" s="33">
        <v>6211.728456299999</v>
      </c>
      <c r="AC16" s="430">
        <v>6174.95095902</v>
      </c>
      <c r="AD16" s="400">
        <v>7204.2090273799995</v>
      </c>
      <c r="AE16" s="33">
        <v>7147.625556479999</v>
      </c>
      <c r="AF16" s="443">
        <v>7128.95570324</v>
      </c>
      <c r="AG16" s="452">
        <v>0</v>
      </c>
      <c r="AH16" s="405">
        <v>0</v>
      </c>
      <c r="AI16" s="486">
        <v>0</v>
      </c>
      <c r="AJ16" s="443">
        <v>0</v>
      </c>
      <c r="AK16" s="443">
        <v>0</v>
      </c>
      <c r="AL16" s="523"/>
      <c r="AM16" s="465"/>
    </row>
    <row r="17" spans="2:38" s="25" customFormat="1" ht="6" customHeight="1">
      <c r="B17" s="179"/>
      <c r="C17" s="491"/>
      <c r="D17" s="491"/>
      <c r="E17" s="489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6"/>
      <c r="V17" s="453"/>
      <c r="W17" s="487"/>
      <c r="X17" s="487"/>
      <c r="Y17" s="444"/>
      <c r="Z17" s="406"/>
      <c r="AA17" s="431"/>
      <c r="AB17" s="35"/>
      <c r="AC17" s="431"/>
      <c r="AD17" s="401"/>
      <c r="AE17" s="35"/>
      <c r="AF17" s="444"/>
      <c r="AG17" s="453"/>
      <c r="AH17" s="407"/>
      <c r="AI17" s="487"/>
      <c r="AJ17" s="444"/>
      <c r="AK17" s="444"/>
      <c r="AL17" s="498"/>
    </row>
    <row r="18" spans="2:38" s="27" customFormat="1" ht="15" customHeight="1">
      <c r="B18" s="568" t="s">
        <v>100</v>
      </c>
      <c r="C18" s="570">
        <f aca="true" t="shared" si="0" ref="C18:H18">SUM(C15:C16)</f>
        <v>1645</v>
      </c>
      <c r="D18" s="570">
        <f t="shared" si="0"/>
        <v>2533</v>
      </c>
      <c r="E18" s="561">
        <f t="shared" si="0"/>
        <v>2778</v>
      </c>
      <c r="F18" s="570">
        <f t="shared" si="0"/>
        <v>3231.62940566</v>
      </c>
      <c r="G18" s="572">
        <f t="shared" si="0"/>
        <v>3978.2822575499995</v>
      </c>
      <c r="H18" s="572">
        <f t="shared" si="0"/>
        <v>4283.16118678</v>
      </c>
      <c r="I18" s="559">
        <f aca="true" t="shared" si="1" ref="I18:N18">SUM(I15:I16)</f>
        <v>4271.37034379</v>
      </c>
      <c r="J18" s="559">
        <f t="shared" si="1"/>
        <v>3622.58121752</v>
      </c>
      <c r="K18" s="559">
        <f t="shared" si="1"/>
        <v>3177.2183911999996</v>
      </c>
      <c r="L18" s="559">
        <f t="shared" si="1"/>
        <v>3224.1298934800006</v>
      </c>
      <c r="M18" s="559">
        <f t="shared" si="1"/>
        <v>3273.10540427</v>
      </c>
      <c r="N18" s="559">
        <f t="shared" si="1"/>
        <v>3382.31552197</v>
      </c>
      <c r="O18" s="559">
        <f>+O15+O16</f>
        <v>3510.4566990000008</v>
      </c>
      <c r="P18" s="559">
        <f>+P15+P16</f>
        <v>3663.6902058299997</v>
      </c>
      <c r="Q18" s="559">
        <f>+Q15+Q16</f>
        <v>3934.70126796</v>
      </c>
      <c r="R18" s="559">
        <f>+R15+R16</f>
        <v>4098.53643417</v>
      </c>
      <c r="S18" s="559">
        <f>+S15+S16</f>
        <v>5844.665124709998</v>
      </c>
      <c r="T18" s="565">
        <f aca="true" t="shared" si="2" ref="T18:AD18">+T16+T15</f>
        <v>6460.4098858299985</v>
      </c>
      <c r="U18" s="574">
        <f>+U16+U15</f>
        <v>7470.60126099</v>
      </c>
      <c r="V18" s="565">
        <f>+V16+V15</f>
        <v>8802.2634794</v>
      </c>
      <c r="W18" s="551">
        <f>+W16+W15</f>
        <v>9819.603212310001</v>
      </c>
      <c r="X18" s="551">
        <f>+X16+X15</f>
        <v>8524.64820177</v>
      </c>
      <c r="Y18" s="557">
        <f>+Y16+Y15</f>
        <v>9462.238465600001</v>
      </c>
      <c r="Z18" s="551">
        <f t="shared" si="2"/>
        <v>9202.06684311</v>
      </c>
      <c r="AA18" s="561">
        <f t="shared" si="2"/>
        <v>8535.270265389998</v>
      </c>
      <c r="AB18" s="574">
        <f t="shared" si="2"/>
        <v>8291.919997039999</v>
      </c>
      <c r="AC18" s="561">
        <f t="shared" si="2"/>
        <v>8177.240893120001</v>
      </c>
      <c r="AD18" s="565">
        <f t="shared" si="2"/>
        <v>9204.96979524</v>
      </c>
      <c r="AE18" s="574">
        <f aca="true" t="shared" si="3" ref="AE18:AJ18">+AE16+AE15</f>
        <v>9056.90819482</v>
      </c>
      <c r="AF18" s="557">
        <f t="shared" si="3"/>
        <v>8958.122313900001</v>
      </c>
      <c r="AG18" s="565">
        <f t="shared" si="3"/>
        <v>0</v>
      </c>
      <c r="AH18" s="559">
        <f t="shared" si="3"/>
        <v>0</v>
      </c>
      <c r="AI18" s="551">
        <f t="shared" si="3"/>
        <v>0</v>
      </c>
      <c r="AJ18" s="557">
        <f t="shared" si="3"/>
        <v>0</v>
      </c>
      <c r="AK18" s="557">
        <f>+AK16+AK15</f>
        <v>0</v>
      </c>
      <c r="AL18" s="497"/>
    </row>
    <row r="19" spans="2:39" s="27" customFormat="1" ht="15" customHeight="1">
      <c r="B19" s="569"/>
      <c r="C19" s="571"/>
      <c r="D19" s="571"/>
      <c r="E19" s="562"/>
      <c r="F19" s="571"/>
      <c r="G19" s="573"/>
      <c r="H19" s="573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6"/>
      <c r="U19" s="575"/>
      <c r="V19" s="566"/>
      <c r="W19" s="552"/>
      <c r="X19" s="552"/>
      <c r="Y19" s="558"/>
      <c r="Z19" s="552"/>
      <c r="AA19" s="562"/>
      <c r="AB19" s="575"/>
      <c r="AC19" s="562"/>
      <c r="AD19" s="566"/>
      <c r="AE19" s="575"/>
      <c r="AF19" s="558"/>
      <c r="AG19" s="566"/>
      <c r="AH19" s="560"/>
      <c r="AI19" s="552"/>
      <c r="AJ19" s="558"/>
      <c r="AK19" s="558"/>
      <c r="AL19" s="497"/>
      <c r="AM19" s="465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7" s="25" customFormat="1" ht="28.5" customHeight="1">
      <c r="B22" s="567"/>
      <c r="C22" s="567"/>
      <c r="D22" s="567"/>
      <c r="E22" s="567"/>
      <c r="F22" s="567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8"/>
      <c r="AE22" s="203"/>
      <c r="AF22" s="203"/>
      <c r="AG22" s="203"/>
      <c r="AH22" s="203"/>
      <c r="AI22" s="203"/>
      <c r="AJ22" s="203"/>
      <c r="AK22" s="203"/>
    </row>
    <row r="23" spans="2:37" s="25" customFormat="1" ht="28.5" customHeight="1">
      <c r="B23" s="567"/>
      <c r="C23" s="567"/>
      <c r="D23" s="567"/>
      <c r="E23" s="567"/>
      <c r="F23" s="567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6"/>
      <c r="AD23" s="508"/>
      <c r="AF23" s="203"/>
      <c r="AG23" s="508"/>
      <c r="AK23" s="506"/>
    </row>
    <row r="24" spans="2:3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4"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F18:AF19"/>
    <mergeCell ref="Z12:AK12"/>
    <mergeCell ref="AD18:AD19"/>
    <mergeCell ref="Z18:Z19"/>
    <mergeCell ref="T12:T13"/>
    <mergeCell ref="AE18:AE19"/>
    <mergeCell ref="X12:X13"/>
    <mergeCell ref="X18:X19"/>
    <mergeCell ref="V12:V13"/>
    <mergeCell ref="V18:V19"/>
    <mergeCell ref="AB18:AB19"/>
    <mergeCell ref="AJ18:AJ19"/>
    <mergeCell ref="AI18:AI19"/>
    <mergeCell ref="H18:H19"/>
    <mergeCell ref="I18:I19"/>
    <mergeCell ref="Q18:Q19"/>
    <mergeCell ref="R18:R19"/>
    <mergeCell ref="AC18:AC19"/>
    <mergeCell ref="T18:T19"/>
    <mergeCell ref="AH18:AH19"/>
    <mergeCell ref="B23:F23"/>
    <mergeCell ref="B18:B19"/>
    <mergeCell ref="C18:C19"/>
    <mergeCell ref="D18:D19"/>
    <mergeCell ref="E18:E19"/>
    <mergeCell ref="G18:G19"/>
    <mergeCell ref="B22:F22"/>
    <mergeCell ref="F18:F19"/>
    <mergeCell ref="AK18:AK19"/>
    <mergeCell ref="J18:J19"/>
    <mergeCell ref="S18:S19"/>
    <mergeCell ref="N18:N19"/>
    <mergeCell ref="S12:S13"/>
    <mergeCell ref="K18:K19"/>
    <mergeCell ref="AA18:AA19"/>
    <mergeCell ref="U12:U13"/>
    <mergeCell ref="M18:M19"/>
    <mergeCell ref="AG18:AG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28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83"/>
      <c r="C2" s="583"/>
      <c r="D2" s="583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83"/>
      <c r="C3" s="583"/>
      <c r="D3" s="583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83"/>
      <c r="C4" s="583"/>
      <c r="D4" s="583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259</v>
      </c>
      <c r="C9" s="268"/>
      <c r="D9" s="137"/>
      <c r="E9" s="318">
        <f>+Portada!H39</f>
        <v>4.044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92" t="s">
        <v>156</v>
      </c>
      <c r="C11" s="588" t="s">
        <v>87</v>
      </c>
      <c r="D11" s="588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93"/>
      <c r="C12" s="589"/>
      <c r="D12" s="589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9">
        <f>SUM(C15:C16)</f>
        <v>1586215.483260001</v>
      </c>
      <c r="D14" s="467">
        <f>SUM(D15:D16)</f>
        <v>6414655.4143</v>
      </c>
      <c r="E14" s="320"/>
      <c r="F14" s="499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8">
        <v>981336.688870001</v>
      </c>
      <c r="D15" s="468">
        <f>ROUND(+C15*$E$9,5)</f>
        <v>3968525.56979</v>
      </c>
      <c r="E15" s="324"/>
      <c r="F15" s="464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8">
        <v>604878.79439</v>
      </c>
      <c r="D16" s="468">
        <f>ROUND(+C16*$E$9,5)</f>
        <v>2446129.84451</v>
      </c>
      <c r="E16" s="324"/>
      <c r="F16" s="464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70"/>
      <c r="D17" s="468"/>
      <c r="E17" s="320"/>
      <c r="F17" s="435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9">
        <f>SUM(C19:C20)</f>
        <v>7128955.70324</v>
      </c>
      <c r="D18" s="467">
        <f>SUM(D19:D20)</f>
        <v>28829496.8639</v>
      </c>
      <c r="E18" s="320"/>
      <c r="F18" s="499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8">
        <v>2838039.8269200004</v>
      </c>
      <c r="D19" s="468">
        <f>ROUND(+C19*$E$9,5)</f>
        <v>11477033.06006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8">
        <v>4290915.87632</v>
      </c>
      <c r="D20" s="468">
        <f>ROUND(+C20*$E$9,5)</f>
        <v>17352463.80384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70"/>
      <c r="D21" s="468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94" t="s">
        <v>61</v>
      </c>
      <c r="C22" s="590">
        <f>+C18+C14</f>
        <v>8715171.186500002</v>
      </c>
      <c r="D22" s="590">
        <f>+D18+D14</f>
        <v>35244152.2782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95"/>
      <c r="C23" s="591"/>
      <c r="D23" s="591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3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31 de julio de 2021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92" t="s">
        <v>156</v>
      </c>
      <c r="C35" s="588" t="s">
        <v>87</v>
      </c>
      <c r="D35" s="588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93"/>
      <c r="C36" s="589"/>
      <c r="D36" s="589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9">
        <f>SUM(C39:C40)</f>
        <v>242951.1273999998</v>
      </c>
      <c r="D38" s="467">
        <f>SUM(D39:D40)</f>
        <v>982494.3592055991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70">
        <v>0</v>
      </c>
      <c r="D39" s="468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70">
        <v>242951.1273999998</v>
      </c>
      <c r="D40" s="468">
        <f>+C40*$E$9</f>
        <v>982494.3592055991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70"/>
      <c r="D41" s="468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9">
        <f>SUM(C43:C44)</f>
        <v>0</v>
      </c>
      <c r="D42" s="467">
        <f>SUM(D43:D44)</f>
        <v>0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70">
        <v>0</v>
      </c>
      <c r="D43" s="468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70">
        <v>0</v>
      </c>
      <c r="D44" s="468">
        <f>+C44*$E$9</f>
        <v>0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70"/>
      <c r="D45" s="468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94" t="s">
        <v>61</v>
      </c>
      <c r="C46" s="590">
        <f>+C42+C38</f>
        <v>242951.1273999998</v>
      </c>
      <c r="D46" s="590">
        <f>+D42+D38</f>
        <v>982494.3592055991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95"/>
      <c r="C47" s="591"/>
      <c r="D47" s="591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20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500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8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3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5"/>
      <c r="D56" s="435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600" t="str">
        <f>+'DEP-C2'!B9</f>
        <v>Al 31 de julio de 2021</v>
      </c>
      <c r="C9" s="600"/>
      <c r="D9" s="266"/>
      <c r="E9" s="318">
        <f>+Portada!H39</f>
        <v>4.044</v>
      </c>
      <c r="M9" s="190"/>
    </row>
    <row r="10" spans="2:13" s="65" customFormat="1" ht="9.75" customHeight="1">
      <c r="B10" s="603"/>
      <c r="C10" s="603"/>
      <c r="D10" s="603"/>
      <c r="E10" s="283"/>
      <c r="M10" s="165"/>
    </row>
    <row r="11" spans="2:4" ht="16.5" customHeight="1">
      <c r="B11" s="604" t="s">
        <v>94</v>
      </c>
      <c r="C11" s="598" t="s">
        <v>87</v>
      </c>
      <c r="D11" s="588" t="s">
        <v>164</v>
      </c>
    </row>
    <row r="12" spans="2:13" s="81" customFormat="1" ht="16.5" customHeight="1">
      <c r="B12" s="605"/>
      <c r="C12" s="599"/>
      <c r="D12" s="589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71">
        <f>SUM(C15:C16)</f>
        <v>1550413.980800001</v>
      </c>
      <c r="D14" s="383">
        <f>SUM(D15:D16)</f>
        <v>6269874.13836</v>
      </c>
      <c r="M14" s="166"/>
    </row>
    <row r="15" spans="2:13" s="81" customFormat="1" ht="16.5">
      <c r="B15" s="80" t="s">
        <v>25</v>
      </c>
      <c r="C15" s="472">
        <v>1320493.824770001</v>
      </c>
      <c r="D15" s="389">
        <f>ROUND(+C15*$E$9,5)</f>
        <v>5340077.02737</v>
      </c>
      <c r="E15" s="284"/>
      <c r="F15" s="435"/>
      <c r="G15" s="285"/>
      <c r="M15" s="166"/>
    </row>
    <row r="16" spans="2:13" s="81" customFormat="1" ht="16.5">
      <c r="B16" s="80" t="s">
        <v>24</v>
      </c>
      <c r="C16" s="472">
        <v>229920.15603</v>
      </c>
      <c r="D16" s="389">
        <f>ROUND(+C16*$E$9,5)</f>
        <v>929797.11099</v>
      </c>
      <c r="E16" s="284"/>
      <c r="F16" s="435"/>
      <c r="M16" s="166"/>
    </row>
    <row r="17" spans="2:13" s="81" customFormat="1" ht="15" customHeight="1">
      <c r="B17" s="64"/>
      <c r="C17" s="473"/>
      <c r="D17" s="382"/>
      <c r="M17" s="166"/>
    </row>
    <row r="18" spans="2:13" s="81" customFormat="1" ht="16.5">
      <c r="B18" s="163" t="s">
        <v>63</v>
      </c>
      <c r="C18" s="471">
        <f>SUM(C19:C20)</f>
        <v>7164757.2057</v>
      </c>
      <c r="D18" s="471">
        <f>SUM(D19:D20)</f>
        <v>28974278.139870003</v>
      </c>
      <c r="E18" s="284"/>
      <c r="M18" s="166"/>
    </row>
    <row r="19" spans="2:13" s="81" customFormat="1" ht="16.5">
      <c r="B19" s="80" t="s">
        <v>25</v>
      </c>
      <c r="C19" s="472">
        <f>+C23+C27+C31</f>
        <v>2498882.69102</v>
      </c>
      <c r="D19" s="472">
        <f>+D23+D27+D31</f>
        <v>10105481.60249</v>
      </c>
      <c r="M19" s="166"/>
    </row>
    <row r="20" spans="2:13" s="81" customFormat="1" ht="16.5">
      <c r="B20" s="80" t="s">
        <v>24</v>
      </c>
      <c r="C20" s="472">
        <f>+C24+C28+C32</f>
        <v>4665874.51468</v>
      </c>
      <c r="D20" s="472">
        <f>+D24+D28+D32</f>
        <v>18868796.537380002</v>
      </c>
      <c r="M20" s="166"/>
    </row>
    <row r="21" spans="2:13" s="81" customFormat="1" ht="9.75" customHeight="1">
      <c r="B21" s="82"/>
      <c r="C21" s="472"/>
      <c r="D21" s="389"/>
      <c r="M21" s="166"/>
    </row>
    <row r="22" spans="2:13" s="81" customFormat="1" ht="16.5">
      <c r="B22" s="345" t="s">
        <v>176</v>
      </c>
      <c r="C22" s="474">
        <f>SUM(C23:C24)</f>
        <v>6699931.978669999</v>
      </c>
      <c r="D22" s="381">
        <f>SUM(D23:D24)</f>
        <v>27094524.92175</v>
      </c>
      <c r="G22" s="284"/>
      <c r="I22" s="286"/>
      <c r="M22" s="166"/>
    </row>
    <row r="23" spans="2:13" s="81" customFormat="1" ht="16.5">
      <c r="B23" s="346" t="s">
        <v>25</v>
      </c>
      <c r="C23" s="473">
        <v>2148426.25513</v>
      </c>
      <c r="D23" s="382">
        <f>ROUND(+C23*$E$9,5)</f>
        <v>8688235.77575</v>
      </c>
      <c r="G23" s="284"/>
      <c r="I23" s="286"/>
      <c r="M23" s="166"/>
    </row>
    <row r="24" spans="2:13" s="81" customFormat="1" ht="16.5">
      <c r="B24" s="346" t="s">
        <v>24</v>
      </c>
      <c r="C24" s="473">
        <v>4551505.72354</v>
      </c>
      <c r="D24" s="382">
        <f>ROUND(+C24*$E$9,5)</f>
        <v>18406289.146</v>
      </c>
      <c r="M24" s="166"/>
    </row>
    <row r="25" spans="2:13" s="81" customFormat="1" ht="9.75" customHeight="1">
      <c r="B25" s="82"/>
      <c r="C25" s="472"/>
      <c r="D25" s="389"/>
      <c r="M25" s="166"/>
    </row>
    <row r="26" spans="2:13" s="81" customFormat="1" ht="16.5">
      <c r="B26" s="345" t="s">
        <v>177</v>
      </c>
      <c r="C26" s="474">
        <f>SUM(C27:C28)</f>
        <v>205191.01752000002</v>
      </c>
      <c r="D26" s="381">
        <f>SUM(D27:D28)</f>
        <v>829792.47486</v>
      </c>
      <c r="G26" s="287"/>
      <c r="M26" s="166"/>
    </row>
    <row r="27" spans="2:13" s="81" customFormat="1" ht="16.5">
      <c r="B27" s="346" t="s">
        <v>25</v>
      </c>
      <c r="C27" s="473">
        <v>100410.27695</v>
      </c>
      <c r="D27" s="382">
        <f>ROUND(+C27*$E$9,5)</f>
        <v>406059.15999</v>
      </c>
      <c r="M27" s="166"/>
    </row>
    <row r="28" spans="2:13" s="81" customFormat="1" ht="16.5">
      <c r="B28" s="346" t="s">
        <v>24</v>
      </c>
      <c r="C28" s="473">
        <v>104780.74057000002</v>
      </c>
      <c r="D28" s="382">
        <f>ROUND(+C28*$E$9,5)</f>
        <v>423733.31487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4">
        <f>+SUM(C31:C32)</f>
        <v>259634.20950999993</v>
      </c>
      <c r="D30" s="381">
        <f>SUM(D31:D32)</f>
        <v>1049960.74326</v>
      </c>
      <c r="M30" s="166"/>
    </row>
    <row r="31" spans="2:13" s="81" customFormat="1" ht="16.5">
      <c r="B31" s="346" t="s">
        <v>25</v>
      </c>
      <c r="C31" s="473">
        <v>250046.15893999994</v>
      </c>
      <c r="D31" s="382">
        <f>ROUND(+C31*$E$9,5)</f>
        <v>1011186.66675</v>
      </c>
      <c r="M31" s="166"/>
    </row>
    <row r="32" spans="2:13" s="81" customFormat="1" ht="16.5">
      <c r="B32" s="346" t="s">
        <v>24</v>
      </c>
      <c r="C32" s="473">
        <v>9588.05057</v>
      </c>
      <c r="D32" s="382">
        <f>ROUND(+C32*$E$9,5)</f>
        <v>38774.07651</v>
      </c>
      <c r="M32" s="166"/>
    </row>
    <row r="33" spans="2:13" s="81" customFormat="1" ht="9.75" customHeight="1">
      <c r="B33" s="194"/>
      <c r="C33" s="473"/>
      <c r="D33" s="382"/>
      <c r="M33" s="166"/>
    </row>
    <row r="34" spans="2:13" s="81" customFormat="1" ht="15" customHeight="1">
      <c r="B34" s="601" t="s">
        <v>61</v>
      </c>
      <c r="C34" s="596">
        <f>+C18+C14</f>
        <v>8715171.186500002</v>
      </c>
      <c r="D34" s="596">
        <f>+D18+D14</f>
        <v>35244152.278230004</v>
      </c>
      <c r="M34" s="166"/>
    </row>
    <row r="35" spans="2:13" s="81" customFormat="1" ht="15" customHeight="1">
      <c r="B35" s="602"/>
      <c r="C35" s="597"/>
      <c r="D35" s="597"/>
      <c r="M35" s="166"/>
    </row>
    <row r="36" spans="3:6" ht="16.5">
      <c r="C36" s="192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600" t="str">
        <f>+B9</f>
        <v>Al 31 de julio de 2021</v>
      </c>
      <c r="C44" s="600"/>
      <c r="D44" s="253"/>
      <c r="M44" s="190"/>
    </row>
    <row r="45" spans="2:13" s="65" customFormat="1" ht="9.75" customHeight="1">
      <c r="B45" s="603"/>
      <c r="C45" s="603"/>
      <c r="D45" s="603"/>
      <c r="M45" s="165"/>
    </row>
    <row r="46" spans="2:4" ht="16.5" customHeight="1">
      <c r="B46" s="604" t="s">
        <v>94</v>
      </c>
      <c r="C46" s="598" t="s">
        <v>87</v>
      </c>
      <c r="D46" s="588" t="s">
        <v>164</v>
      </c>
    </row>
    <row r="47" spans="2:13" s="81" customFormat="1" ht="16.5" customHeight="1">
      <c r="B47" s="605"/>
      <c r="C47" s="599"/>
      <c r="D47" s="589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71">
        <f>SUM(C50:C51)</f>
        <v>242951.1273999998</v>
      </c>
      <c r="D49" s="383">
        <f>SUM(D50:D51)</f>
        <v>982494.35921</v>
      </c>
      <c r="F49" s="349"/>
      <c r="M49" s="166"/>
    </row>
    <row r="50" spans="2:13" s="81" customFormat="1" ht="16.5">
      <c r="B50" s="80" t="s">
        <v>24</v>
      </c>
      <c r="C50" s="472">
        <v>242951.1273999998</v>
      </c>
      <c r="D50" s="389">
        <f>ROUND(+C50*$E$9,5)</f>
        <v>982494.35921</v>
      </c>
      <c r="F50" s="348"/>
      <c r="M50" s="166"/>
    </row>
    <row r="51" spans="2:13" s="81" customFormat="1" ht="21.75" customHeight="1" hidden="1">
      <c r="B51" s="82" t="s">
        <v>65</v>
      </c>
      <c r="C51" s="472">
        <v>0</v>
      </c>
      <c r="D51" s="389">
        <f>+C51*$E$9</f>
        <v>0</v>
      </c>
      <c r="M51" s="166"/>
    </row>
    <row r="52" spans="2:13" s="81" customFormat="1" ht="15" customHeight="1">
      <c r="B52" s="64"/>
      <c r="C52" s="473"/>
      <c r="D52" s="382"/>
      <c r="M52" s="166"/>
    </row>
    <row r="53" spans="2:13" s="81" customFormat="1" ht="16.5">
      <c r="B53" s="163" t="s">
        <v>63</v>
      </c>
      <c r="C53" s="471">
        <f>SUM(C54:C55)</f>
        <v>0</v>
      </c>
      <c r="D53" s="471">
        <f>SUM(D54:D55)</f>
        <v>0</v>
      </c>
      <c r="F53" s="349"/>
      <c r="M53" s="166"/>
    </row>
    <row r="54" spans="2:13" s="81" customFormat="1" ht="16.5">
      <c r="B54" s="80" t="s">
        <v>25</v>
      </c>
      <c r="C54" s="472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72">
        <f>+C59</f>
        <v>0</v>
      </c>
      <c r="D55" s="389">
        <f>+D59</f>
        <v>0</v>
      </c>
      <c r="F55" s="348"/>
      <c r="M55" s="166"/>
    </row>
    <row r="56" spans="2:13" s="81" customFormat="1" ht="9.75" customHeight="1" hidden="1">
      <c r="B56" s="82"/>
      <c r="C56" s="472"/>
      <c r="D56" s="389"/>
      <c r="M56" s="166"/>
    </row>
    <row r="57" spans="2:13" s="81" customFormat="1" ht="16.5" hidden="1">
      <c r="B57" s="345" t="s">
        <v>176</v>
      </c>
      <c r="C57" s="474">
        <f>SUM(C58:C59)</f>
        <v>0</v>
      </c>
      <c r="D57" s="474">
        <f>SUM(D58:D59)</f>
        <v>0</v>
      </c>
      <c r="F57" s="349"/>
      <c r="M57" s="166"/>
    </row>
    <row r="58" spans="2:13" s="81" customFormat="1" ht="16.5" customHeight="1" hidden="1">
      <c r="B58" s="346" t="s">
        <v>25</v>
      </c>
      <c r="C58" s="473">
        <v>0</v>
      </c>
      <c r="D58" s="382">
        <f>ROUND(+C58*$E$9,5)</f>
        <v>0</v>
      </c>
      <c r="F58" s="348"/>
      <c r="M58" s="166"/>
    </row>
    <row r="59" spans="2:13" s="81" customFormat="1" ht="16.5" customHeight="1" hidden="1">
      <c r="B59" s="346" t="s">
        <v>24</v>
      </c>
      <c r="C59" s="473">
        <v>0</v>
      </c>
      <c r="D59" s="382">
        <f>ROUND(+C59*$E$9,5)</f>
        <v>0</v>
      </c>
      <c r="F59" s="206"/>
      <c r="M59" s="166"/>
    </row>
    <row r="60" spans="2:13" s="81" customFormat="1" ht="9.75" customHeight="1">
      <c r="B60" s="194"/>
      <c r="C60" s="473"/>
      <c r="D60" s="382"/>
      <c r="M60" s="166"/>
    </row>
    <row r="61" spans="2:13" s="81" customFormat="1" ht="15" customHeight="1">
      <c r="B61" s="601" t="s">
        <v>61</v>
      </c>
      <c r="C61" s="596">
        <f>+C53+C49</f>
        <v>242951.1273999998</v>
      </c>
      <c r="D61" s="596">
        <f>+D53+D49</f>
        <v>982494.35921</v>
      </c>
      <c r="M61" s="166"/>
    </row>
    <row r="62" spans="2:13" s="81" customFormat="1" ht="15" customHeight="1">
      <c r="B62" s="602"/>
      <c r="C62" s="597"/>
      <c r="D62" s="597"/>
      <c r="F62" s="349"/>
      <c r="M62" s="166"/>
    </row>
    <row r="63" ht="12.75">
      <c r="C63" s="520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31 de julio de 2021</v>
      </c>
      <c r="C9" s="133"/>
      <c r="D9" s="266"/>
      <c r="E9" s="318">
        <f>+Portada!H39</f>
        <v>4.044</v>
      </c>
      <c r="K9" s="190"/>
    </row>
    <row r="10" spans="2:11" ht="9.75" customHeight="1">
      <c r="B10" s="606"/>
      <c r="C10" s="606"/>
      <c r="D10" s="606"/>
      <c r="K10" s="132"/>
    </row>
    <row r="11" spans="2:11" ht="16.5" customHeight="1">
      <c r="B11" s="604" t="s">
        <v>95</v>
      </c>
      <c r="C11" s="598" t="s">
        <v>87</v>
      </c>
      <c r="D11" s="588" t="s">
        <v>214</v>
      </c>
      <c r="K11" s="132"/>
    </row>
    <row r="12" spans="2:11" ht="16.5" customHeight="1">
      <c r="B12" s="605"/>
      <c r="C12" s="599"/>
      <c r="D12" s="589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4895794.670710001</v>
      </c>
      <c r="D14" s="381">
        <f>+D16+D20</f>
        <v>19798593.64836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5"/>
      <c r="D15" s="475"/>
      <c r="K15" s="165"/>
    </row>
    <row r="16" spans="2:11" s="65" customFormat="1" ht="16.5" customHeight="1">
      <c r="B16" s="352" t="s">
        <v>33</v>
      </c>
      <c r="C16" s="381">
        <f>SUM(C17:C18)</f>
        <v>4290915.876320001</v>
      </c>
      <c r="D16" s="381">
        <f>SUM(D17:D18)</f>
        <v>17352463.80384</v>
      </c>
      <c r="E16" s="516"/>
      <c r="F16" s="466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12132000</v>
      </c>
      <c r="F17" s="348"/>
      <c r="H17" s="208"/>
      <c r="K17" s="165"/>
    </row>
    <row r="18" spans="2:11" s="65" customFormat="1" ht="16.5" customHeight="1">
      <c r="B18" s="344" t="s">
        <v>232</v>
      </c>
      <c r="C18" s="382">
        <v>1290915.8763200003</v>
      </c>
      <c r="D18" s="382">
        <f>ROUND(+C18*$E$9,5)</f>
        <v>5220463.80384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604878.79439</v>
      </c>
      <c r="D20" s="381">
        <f>SUM(D21:D26)</f>
        <v>2446129.8445200003</v>
      </c>
      <c r="E20" s="516"/>
      <c r="F20" s="466"/>
      <c r="H20" s="208"/>
      <c r="K20" s="165"/>
    </row>
    <row r="21" spans="2:11" s="65" customFormat="1" ht="16.5" customHeight="1">
      <c r="B21" s="344" t="s">
        <v>221</v>
      </c>
      <c r="C21" s="382">
        <v>371868.63836000004</v>
      </c>
      <c r="D21" s="382">
        <f aca="true" t="shared" si="0" ref="D21:D26">ROUND(+C21*$E$9,5)</f>
        <v>1503836.77353</v>
      </c>
      <c r="E21" s="449"/>
      <c r="F21" s="348"/>
      <c r="H21" s="208"/>
      <c r="K21" s="165"/>
    </row>
    <row r="22" spans="2:11" s="65" customFormat="1" ht="16.5" customHeight="1">
      <c r="B22" s="344" t="s">
        <v>182</v>
      </c>
      <c r="C22" s="382">
        <v>163535.78104</v>
      </c>
      <c r="D22" s="382">
        <f t="shared" si="0"/>
        <v>661338.69853</v>
      </c>
      <c r="E22" s="449"/>
      <c r="F22" s="348"/>
      <c r="H22" s="208"/>
      <c r="K22" s="165"/>
    </row>
    <row r="23" spans="2:11" s="65" customFormat="1" ht="16.5" customHeight="1">
      <c r="B23" s="344" t="s">
        <v>0</v>
      </c>
      <c r="C23" s="382">
        <v>67873.77726</v>
      </c>
      <c r="D23" s="382">
        <f t="shared" si="0"/>
        <v>274481.55524</v>
      </c>
      <c r="E23" s="449"/>
      <c r="F23" s="348"/>
      <c r="G23" s="289"/>
      <c r="H23" s="208"/>
      <c r="K23" s="165"/>
    </row>
    <row r="24" spans="2:11" s="65" customFormat="1" ht="16.5" customHeight="1" hidden="1">
      <c r="B24" s="344" t="s">
        <v>240</v>
      </c>
      <c r="C24" s="382"/>
      <c r="D24" s="382">
        <f t="shared" si="0"/>
        <v>0</v>
      </c>
      <c r="E24" s="449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1578.3538</v>
      </c>
      <c r="D25" s="382">
        <f t="shared" si="0"/>
        <v>6382.86277</v>
      </c>
      <c r="E25" s="449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22.24393</v>
      </c>
      <c r="D26" s="382">
        <f t="shared" si="0"/>
        <v>89.95445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3819376.5157899996</v>
      </c>
      <c r="D28" s="381">
        <f>+D30+D38</f>
        <v>15445558.62987236</v>
      </c>
      <c r="F28" s="349"/>
      <c r="G28" s="207"/>
      <c r="H28" s="207"/>
    </row>
    <row r="29" spans="2:4" s="65" customFormat="1" ht="9.75" customHeight="1">
      <c r="B29" s="63"/>
      <c r="C29" s="475"/>
      <c r="D29" s="475"/>
    </row>
    <row r="30" spans="2:8" s="65" customFormat="1" ht="16.5" customHeight="1">
      <c r="B30" s="352" t="s">
        <v>33</v>
      </c>
      <c r="C30" s="381">
        <f>SUM(C31:C36)</f>
        <v>2838039.8269200004</v>
      </c>
      <c r="D30" s="381">
        <f>SUM(D31:D36)</f>
        <v>11477033.06008</v>
      </c>
      <c r="E30" s="516"/>
      <c r="F30" s="466"/>
      <c r="H30" s="208"/>
    </row>
    <row r="31" spans="2:8" s="65" customFormat="1" ht="16.5" customHeight="1">
      <c r="B31" s="344" t="s">
        <v>219</v>
      </c>
      <c r="C31" s="382">
        <v>2368747.88131</v>
      </c>
      <c r="D31" s="382">
        <f aca="true" t="shared" si="1" ref="D31:D36">ROUND(+C31*$E$9,5)</f>
        <v>9579216.43202</v>
      </c>
      <c r="E31" s="380"/>
      <c r="F31" s="445"/>
      <c r="H31" s="208"/>
    </row>
    <row r="32" spans="2:8" s="65" customFormat="1" ht="16.5" customHeight="1">
      <c r="B32" s="344" t="s">
        <v>180</v>
      </c>
      <c r="C32" s="382">
        <v>194096.60404999997</v>
      </c>
      <c r="D32" s="382">
        <f t="shared" si="1"/>
        <v>784926.66678</v>
      </c>
      <c r="E32" s="380"/>
      <c r="F32" s="445"/>
      <c r="H32" s="208"/>
    </row>
    <row r="33" spans="2:8" s="65" customFormat="1" ht="16.5" customHeight="1">
      <c r="B33" s="344" t="s">
        <v>234</v>
      </c>
      <c r="C33" s="382">
        <v>154564.15673999998</v>
      </c>
      <c r="D33" s="382">
        <f t="shared" si="1"/>
        <v>625057.44986</v>
      </c>
      <c r="E33" s="380"/>
      <c r="F33" s="445"/>
      <c r="H33" s="208"/>
    </row>
    <row r="34" spans="2:8" s="65" customFormat="1" ht="16.5" customHeight="1">
      <c r="B34" s="344" t="s">
        <v>186</v>
      </c>
      <c r="C34" s="382">
        <v>89020.77152</v>
      </c>
      <c r="D34" s="382">
        <f t="shared" si="1"/>
        <v>360000.00003</v>
      </c>
      <c r="E34" s="380"/>
      <c r="F34" s="445"/>
      <c r="H34" s="208"/>
    </row>
    <row r="35" spans="2:8" s="65" customFormat="1" ht="16.5" customHeight="1">
      <c r="B35" s="344" t="s">
        <v>235</v>
      </c>
      <c r="C35" s="382">
        <v>25000</v>
      </c>
      <c r="D35" s="382">
        <f t="shared" si="1"/>
        <v>101100</v>
      </c>
      <c r="E35" s="380"/>
      <c r="F35" s="445"/>
      <c r="H35" s="208"/>
    </row>
    <row r="36" spans="2:8" s="65" customFormat="1" ht="16.5" customHeight="1">
      <c r="B36" s="344" t="s">
        <v>179</v>
      </c>
      <c r="C36" s="382">
        <v>6610.4133</v>
      </c>
      <c r="D36" s="382">
        <f t="shared" si="1"/>
        <v>26732.51139</v>
      </c>
      <c r="E36" s="380"/>
      <c r="F36" s="445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SUM(C39:C43)</f>
        <v>981336.6888699995</v>
      </c>
      <c r="D38" s="381">
        <f>SUM(D39:D43)</f>
        <v>3968525.5697923596</v>
      </c>
      <c r="E38" s="516"/>
      <c r="F38" s="517"/>
      <c r="H38" s="208"/>
    </row>
    <row r="39" spans="2:8" s="65" customFormat="1" ht="16.5" customHeight="1">
      <c r="B39" s="344" t="s">
        <v>223</v>
      </c>
      <c r="C39" s="382">
        <v>540074.18399</v>
      </c>
      <c r="D39" s="382">
        <f>ROUND(+C39*$E$9,5)</f>
        <v>2184060.00006</v>
      </c>
      <c r="F39" s="349"/>
      <c r="H39" s="208"/>
    </row>
    <row r="40" spans="2:8" s="65" customFormat="1" ht="16.5" customHeight="1">
      <c r="B40" s="344" t="s">
        <v>181</v>
      </c>
      <c r="C40" s="382">
        <v>390042.8618799996</v>
      </c>
      <c r="D40" s="382">
        <f>ROUND(+C40*$E$9,5)</f>
        <v>1577333.33344</v>
      </c>
      <c r="E40" s="380"/>
      <c r="F40" s="502"/>
      <c r="H40" s="208"/>
    </row>
    <row r="41" spans="2:8" s="65" customFormat="1" ht="16.5" customHeight="1">
      <c r="B41" s="344" t="s">
        <v>221</v>
      </c>
      <c r="C41" s="382">
        <v>31762.745410000003</v>
      </c>
      <c r="D41" s="382">
        <f>ROUND(+C41*$E$9,5)</f>
        <v>128448.54244</v>
      </c>
      <c r="E41" s="380"/>
      <c r="F41" s="445"/>
      <c r="H41" s="208"/>
    </row>
    <row r="42" spans="2:8" s="65" customFormat="1" ht="16.5" customHeight="1">
      <c r="B42" s="344" t="s">
        <v>211</v>
      </c>
      <c r="C42" s="382">
        <v>18651.97119</v>
      </c>
      <c r="D42" s="382">
        <f>ROUND(+C42*$E$9,8)</f>
        <v>75428.57149236</v>
      </c>
      <c r="E42" s="380"/>
      <c r="F42" s="445"/>
      <c r="H42" s="208"/>
    </row>
    <row r="43" spans="2:8" s="65" customFormat="1" ht="16.5" customHeight="1">
      <c r="B43" s="344" t="s">
        <v>184</v>
      </c>
      <c r="C43" s="382">
        <v>804.9264000000001</v>
      </c>
      <c r="D43" s="382">
        <f>ROUND(+C43*$E$9,5)</f>
        <v>3255.12236</v>
      </c>
      <c r="E43" s="380"/>
      <c r="F43" s="445"/>
      <c r="H43" s="208"/>
    </row>
    <row r="44" spans="2:8" s="65" customFormat="1" ht="9" customHeight="1">
      <c r="B44" s="64"/>
      <c r="C44" s="382"/>
      <c r="D44" s="382"/>
      <c r="H44" s="208"/>
    </row>
    <row r="45" spans="2:8" s="65" customFormat="1" ht="15" customHeight="1">
      <c r="B45" s="601" t="s">
        <v>61</v>
      </c>
      <c r="C45" s="596">
        <f>+C28+C14</f>
        <v>8715171.186500002</v>
      </c>
      <c r="D45" s="596">
        <f>+D28+D14</f>
        <v>35244152.27823236</v>
      </c>
      <c r="F45" s="349"/>
      <c r="H45" s="208"/>
    </row>
    <row r="46" spans="2:8" s="81" customFormat="1" ht="15" customHeight="1">
      <c r="B46" s="602"/>
      <c r="C46" s="597"/>
      <c r="D46" s="597"/>
      <c r="H46" s="208"/>
    </row>
    <row r="47" spans="2:8" s="81" customFormat="1" ht="7.5" customHeight="1">
      <c r="B47" s="105"/>
      <c r="C47" s="106"/>
      <c r="D47" s="106"/>
      <c r="H47" s="208"/>
    </row>
    <row r="48" spans="2:4" ht="12.75">
      <c r="B48" s="86" t="s">
        <v>222</v>
      </c>
      <c r="C48" s="518"/>
      <c r="D48" s="86"/>
    </row>
    <row r="49" spans="2:4" ht="12.75">
      <c r="B49" s="86" t="s">
        <v>224</v>
      </c>
      <c r="C49" s="462"/>
      <c r="D49" s="86"/>
    </row>
    <row r="50" spans="2:5" ht="14.25">
      <c r="B50" s="640" t="s">
        <v>261</v>
      </c>
      <c r="C50" s="86"/>
      <c r="D50" s="169"/>
      <c r="E50" s="192"/>
    </row>
    <row r="51" spans="2:5" ht="13.5" customHeight="1">
      <c r="B51" s="640" t="s">
        <v>262</v>
      </c>
      <c r="C51" s="86"/>
      <c r="D51" s="86"/>
      <c r="E51" s="192"/>
    </row>
    <row r="52" spans="2:5" ht="12.75">
      <c r="B52" s="458"/>
      <c r="C52" s="192"/>
      <c r="D52" s="192"/>
      <c r="E52" s="192"/>
    </row>
    <row r="53" spans="2:5" ht="12.75">
      <c r="B53" s="86"/>
      <c r="C53" s="192"/>
      <c r="D53" s="192"/>
      <c r="E53" s="192"/>
    </row>
    <row r="54" spans="3:5" ht="12.75">
      <c r="C54" s="192"/>
      <c r="D54" s="192"/>
      <c r="E54" s="192"/>
    </row>
    <row r="55" spans="2:4" s="136" customFormat="1" ht="18">
      <c r="B55" s="129" t="s">
        <v>118</v>
      </c>
      <c r="C55" s="129"/>
      <c r="D55" s="129"/>
    </row>
    <row r="56" spans="2:4" ht="18">
      <c r="B56" s="319" t="s">
        <v>136</v>
      </c>
      <c r="C56" s="319"/>
      <c r="D56" s="319"/>
    </row>
    <row r="57" spans="2:4" ht="18">
      <c r="B57" s="319" t="s">
        <v>137</v>
      </c>
      <c r="C57" s="319"/>
      <c r="D57" s="319"/>
    </row>
    <row r="58" spans="2:4" ht="16.5">
      <c r="B58" s="343" t="s">
        <v>32</v>
      </c>
      <c r="C58" s="184"/>
      <c r="D58" s="184"/>
    </row>
    <row r="59" spans="2:4" s="136" customFormat="1" ht="18">
      <c r="B59" s="133" t="str">
        <f>+B9</f>
        <v>Al 31 de julio de 2021</v>
      </c>
      <c r="C59" s="133"/>
      <c r="D59" s="253"/>
    </row>
    <row r="60" spans="2:4" ht="9.75" customHeight="1">
      <c r="B60" s="606"/>
      <c r="C60" s="606"/>
      <c r="D60" s="606"/>
    </row>
    <row r="61" spans="2:4" ht="16.5" customHeight="1">
      <c r="B61" s="604" t="s">
        <v>95</v>
      </c>
      <c r="C61" s="598" t="s">
        <v>87</v>
      </c>
      <c r="D61" s="588" t="s">
        <v>214</v>
      </c>
    </row>
    <row r="62" spans="2:4" ht="16.5" customHeight="1">
      <c r="B62" s="605"/>
      <c r="C62" s="599"/>
      <c r="D62" s="589"/>
    </row>
    <row r="63" spans="2:4" s="81" customFormat="1" ht="9.75" customHeight="1">
      <c r="B63" s="256"/>
      <c r="C63" s="104"/>
      <c r="D63" s="104"/>
    </row>
    <row r="64" spans="2:4" s="81" customFormat="1" ht="16.5" customHeight="1">
      <c r="B64" s="351" t="s">
        <v>239</v>
      </c>
      <c r="C64" s="381">
        <f>+C66+C68</f>
        <v>0</v>
      </c>
      <c r="D64" s="381">
        <f>+D66+D68</f>
        <v>0</v>
      </c>
    </row>
    <row r="65" spans="2:4" s="81" customFormat="1" ht="9.75" customHeight="1" hidden="1">
      <c r="B65" s="505"/>
      <c r="C65" s="104"/>
      <c r="D65" s="104"/>
    </row>
    <row r="66" spans="2:4" s="81" customFormat="1" ht="16.5" hidden="1">
      <c r="B66" s="352" t="s">
        <v>33</v>
      </c>
      <c r="C66" s="381">
        <v>0</v>
      </c>
      <c r="D66" s="381">
        <v>0</v>
      </c>
    </row>
    <row r="67" spans="2:4" s="81" customFormat="1" ht="9.75" customHeight="1" hidden="1">
      <c r="B67" s="505"/>
      <c r="C67" s="104"/>
      <c r="D67" s="104"/>
    </row>
    <row r="68" spans="2:4" s="81" customFormat="1" ht="16.5" hidden="1">
      <c r="B68" s="352" t="s">
        <v>34</v>
      </c>
      <c r="C68" s="381">
        <f>SUM(C69:C69)</f>
        <v>0</v>
      </c>
      <c r="D68" s="381">
        <f>SUM(D69:D69)</f>
        <v>0</v>
      </c>
    </row>
    <row r="69" spans="2:4" s="81" customFormat="1" ht="16.5" hidden="1">
      <c r="B69" s="344"/>
      <c r="C69" s="382">
        <v>0</v>
      </c>
      <c r="D69" s="382">
        <f>ROUND(+C69*$E$9,8)</f>
        <v>0</v>
      </c>
    </row>
    <row r="70" spans="2:4" s="81" customFormat="1" ht="12" customHeight="1">
      <c r="B70" s="505"/>
      <c r="C70" s="104"/>
      <c r="D70" s="104"/>
    </row>
    <row r="71" spans="2:6" s="65" customFormat="1" ht="16.5" customHeight="1">
      <c r="B71" s="351" t="s">
        <v>237</v>
      </c>
      <c r="C71" s="381">
        <f>+C73+C77</f>
        <v>242951.12740000003</v>
      </c>
      <c r="D71" s="381">
        <f>+D73+D77</f>
        <v>982494.3592056</v>
      </c>
      <c r="F71" s="349"/>
    </row>
    <row r="72" spans="2:8" s="65" customFormat="1" ht="9.75" customHeight="1">
      <c r="B72" s="64"/>
      <c r="C72" s="382"/>
      <c r="D72" s="382"/>
      <c r="H72" s="208"/>
    </row>
    <row r="73" spans="2:8" s="65" customFormat="1" ht="16.5" customHeight="1">
      <c r="B73" s="352" t="s">
        <v>33</v>
      </c>
      <c r="C73" s="381">
        <f>SUM(C74:C75)</f>
        <v>0</v>
      </c>
      <c r="D73" s="381">
        <f>SUM(D74:D75)</f>
        <v>0</v>
      </c>
      <c r="F73" s="349"/>
      <c r="G73" s="209"/>
      <c r="H73" s="209"/>
    </row>
    <row r="74" spans="2:8" s="65" customFormat="1" ht="16.5" customHeight="1" hidden="1">
      <c r="B74" s="344" t="s">
        <v>252</v>
      </c>
      <c r="C74" s="382">
        <v>0</v>
      </c>
      <c r="D74" s="382">
        <f>ROUND(+C74*$E$9,8)</f>
        <v>0</v>
      </c>
      <c r="F74" s="349"/>
      <c r="G74" s="209"/>
      <c r="H74" s="209"/>
    </row>
    <row r="75" spans="2:8" s="65" customFormat="1" ht="16.5" customHeight="1" hidden="1">
      <c r="B75" s="344" t="s">
        <v>253</v>
      </c>
      <c r="C75" s="382">
        <v>0</v>
      </c>
      <c r="D75" s="382">
        <f>ROUND(+C75*$E$9,8)</f>
        <v>0</v>
      </c>
      <c r="F75" s="349"/>
      <c r="G75" s="209"/>
      <c r="H75" s="209"/>
    </row>
    <row r="76" spans="2:4" s="65" customFormat="1" ht="9.75" customHeight="1">
      <c r="B76" s="63"/>
      <c r="C76" s="475"/>
      <c r="D76" s="475"/>
    </row>
    <row r="77" spans="2:8" s="65" customFormat="1" ht="16.5" customHeight="1">
      <c r="B77" s="352" t="s">
        <v>34</v>
      </c>
      <c r="C77" s="381">
        <f>SUM(C78:C85)</f>
        <v>242951.12740000003</v>
      </c>
      <c r="D77" s="381">
        <f>SUM(D78:D85)</f>
        <v>982494.3592056</v>
      </c>
      <c r="F77" s="349"/>
      <c r="H77" s="208"/>
    </row>
    <row r="78" spans="2:8" s="65" customFormat="1" ht="16.5" customHeight="1">
      <c r="B78" s="344" t="s">
        <v>187</v>
      </c>
      <c r="C78" s="382">
        <v>89268.05153000001</v>
      </c>
      <c r="D78" s="382">
        <f aca="true" t="shared" si="2" ref="D78:D85">ROUND(+C78*$E$9,8)</f>
        <v>361000.00038732</v>
      </c>
      <c r="E78" s="380"/>
      <c r="F78" s="445"/>
      <c r="H78" s="208"/>
    </row>
    <row r="79" spans="2:8" s="65" customFormat="1" ht="16.5" customHeight="1">
      <c r="B79" s="344" t="s">
        <v>157</v>
      </c>
      <c r="C79" s="382">
        <v>71288.25115</v>
      </c>
      <c r="D79" s="382">
        <f t="shared" si="2"/>
        <v>288289.6876506</v>
      </c>
      <c r="E79" s="380"/>
      <c r="F79" s="445"/>
      <c r="H79" s="208"/>
    </row>
    <row r="80" spans="2:8" s="65" customFormat="1" ht="16.5" customHeight="1">
      <c r="B80" s="344" t="s">
        <v>188</v>
      </c>
      <c r="C80" s="382">
        <v>62129.58236000002</v>
      </c>
      <c r="D80" s="382">
        <f t="shared" si="2"/>
        <v>251252.03106384</v>
      </c>
      <c r="E80" s="380"/>
      <c r="F80" s="445"/>
      <c r="H80" s="208"/>
    </row>
    <row r="81" spans="2:8" s="65" customFormat="1" ht="16.5" customHeight="1">
      <c r="B81" s="344" t="s">
        <v>184</v>
      </c>
      <c r="C81" s="382">
        <v>18793.27399</v>
      </c>
      <c r="D81" s="382">
        <f t="shared" si="2"/>
        <v>76000.00001556</v>
      </c>
      <c r="E81" s="380"/>
      <c r="F81" s="445"/>
      <c r="H81" s="208"/>
    </row>
    <row r="82" spans="2:8" s="65" customFormat="1" ht="16.5" customHeight="1">
      <c r="B82" s="344" t="s">
        <v>196</v>
      </c>
      <c r="C82" s="382">
        <v>1471.96837</v>
      </c>
      <c r="D82" s="382">
        <f t="shared" si="2"/>
        <v>5952.64008828</v>
      </c>
      <c r="E82" s="380"/>
      <c r="F82" s="445"/>
      <c r="H82" s="208"/>
    </row>
    <row r="83" spans="2:8" s="65" customFormat="1" ht="16.5" customHeight="1" hidden="1">
      <c r="B83" s="344" t="s">
        <v>250</v>
      </c>
      <c r="C83" s="382">
        <v>0</v>
      </c>
      <c r="D83" s="382">
        <f t="shared" si="2"/>
        <v>0</v>
      </c>
      <c r="E83" s="380"/>
      <c r="F83" s="445"/>
      <c r="H83" s="208"/>
    </row>
    <row r="84" spans="2:8" s="65" customFormat="1" ht="16.5" customHeight="1" hidden="1">
      <c r="B84" s="344" t="s">
        <v>254</v>
      </c>
      <c r="C84" s="382">
        <v>0</v>
      </c>
      <c r="D84" s="382">
        <f t="shared" si="2"/>
        <v>0</v>
      </c>
      <c r="E84" s="524"/>
      <c r="F84" s="445"/>
      <c r="H84" s="208"/>
    </row>
    <row r="85" spans="2:8" s="65" customFormat="1" ht="16.5" customHeight="1" hidden="1">
      <c r="B85" s="344" t="s">
        <v>0</v>
      </c>
      <c r="C85" s="382">
        <v>0</v>
      </c>
      <c r="D85" s="382">
        <f t="shared" si="2"/>
        <v>0</v>
      </c>
      <c r="E85" s="524"/>
      <c r="F85" s="445"/>
      <c r="H85" s="208"/>
    </row>
    <row r="86" spans="2:8" s="65" customFormat="1" ht="9" customHeight="1">
      <c r="B86" s="64"/>
      <c r="C86" s="382"/>
      <c r="D86" s="382"/>
      <c r="H86" s="208"/>
    </row>
    <row r="87" spans="2:8" s="65" customFormat="1" ht="15" customHeight="1">
      <c r="B87" s="607" t="s">
        <v>61</v>
      </c>
      <c r="C87" s="596">
        <f>+C64+C71</f>
        <v>242951.12740000003</v>
      </c>
      <c r="D87" s="596">
        <f>+D64+D71</f>
        <v>982494.3592056</v>
      </c>
      <c r="F87" s="349"/>
      <c r="H87" s="208"/>
    </row>
    <row r="88" spans="2:8" s="81" customFormat="1" ht="15" customHeight="1">
      <c r="B88" s="608"/>
      <c r="C88" s="597"/>
      <c r="D88" s="597"/>
      <c r="F88" s="216"/>
      <c r="H88" s="208"/>
    </row>
    <row r="89" ht="12.75">
      <c r="C89" s="192"/>
    </row>
    <row r="90" spans="3:4" ht="12.75">
      <c r="C90" s="102"/>
      <c r="D90" s="288"/>
    </row>
    <row r="91" spans="3:4" ht="12.75">
      <c r="C91" s="290"/>
      <c r="D91" s="290"/>
    </row>
    <row r="92" ht="12.75">
      <c r="C92" s="436"/>
    </row>
    <row r="93" ht="12.75">
      <c r="C93" s="436"/>
    </row>
    <row r="94" ht="12.75">
      <c r="C94" s="436"/>
    </row>
    <row r="95" ht="12.75">
      <c r="C95" s="436"/>
    </row>
    <row r="96" ht="12.75">
      <c r="C96" s="436"/>
    </row>
    <row r="97" ht="12.75">
      <c r="C97" s="436"/>
    </row>
    <row r="98" ht="12.75">
      <c r="C98" s="436"/>
    </row>
  </sheetData>
  <sheetProtection/>
  <mergeCells count="14">
    <mergeCell ref="D11:D12"/>
    <mergeCell ref="C45:C46"/>
    <mergeCell ref="B45:B46"/>
    <mergeCell ref="C61:C62"/>
    <mergeCell ref="D61:D62"/>
    <mergeCell ref="B11:B12"/>
    <mergeCell ref="D45:D46"/>
    <mergeCell ref="C11:C12"/>
    <mergeCell ref="B10:D10"/>
    <mergeCell ref="B87:B88"/>
    <mergeCell ref="C87:C88"/>
    <mergeCell ref="D87:D88"/>
    <mergeCell ref="B60:D60"/>
    <mergeCell ref="B61:B6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ignoredErrors>
    <ignoredError sqref="D4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31 de julio de 2021</v>
      </c>
      <c r="C9" s="133"/>
      <c r="D9" s="266"/>
      <c r="E9" s="318">
        <f>+Portada!H39</f>
        <v>4.044</v>
      </c>
    </row>
    <row r="10" spans="2:4" ht="9.75" customHeight="1">
      <c r="B10" s="606"/>
      <c r="C10" s="606"/>
      <c r="D10" s="606"/>
    </row>
    <row r="11" spans="2:4" ht="16.5" customHeight="1">
      <c r="B11" s="592" t="s">
        <v>150</v>
      </c>
      <c r="C11" s="588" t="s">
        <v>87</v>
      </c>
      <c r="D11" s="611" t="s">
        <v>164</v>
      </c>
    </row>
    <row r="12" spans="2:8" s="81" customFormat="1" ht="16.5" customHeight="1">
      <c r="B12" s="593"/>
      <c r="C12" s="589"/>
      <c r="D12" s="612"/>
      <c r="H12" s="206"/>
    </row>
    <row r="13" spans="2:8" s="81" customFormat="1" ht="9.75" customHeight="1">
      <c r="B13" s="254"/>
      <c r="C13" s="511"/>
      <c r="D13" s="138"/>
      <c r="H13" s="206"/>
    </row>
    <row r="14" spans="2:9" s="65" customFormat="1" ht="16.5" customHeight="1">
      <c r="B14" s="362" t="s">
        <v>0</v>
      </c>
      <c r="C14" s="512">
        <f>SUM(C15:C16)</f>
        <v>4362835.95821</v>
      </c>
      <c r="D14" s="474">
        <f>SUM(D15:D16)</f>
        <v>17643308.61500128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13">
        <v>543459.44242</v>
      </c>
      <c r="D15" s="473">
        <f>ROUND(+C15*$E$9,8)</f>
        <v>2197749.98514648</v>
      </c>
      <c r="E15" s="460"/>
      <c r="F15" s="348"/>
      <c r="G15" s="353"/>
      <c r="H15" s="291"/>
    </row>
    <row r="16" spans="2:8" s="65" customFormat="1" ht="16.5" customHeight="1">
      <c r="B16" s="69" t="s">
        <v>25</v>
      </c>
      <c r="C16" s="513">
        <v>3819376.51579</v>
      </c>
      <c r="D16" s="473">
        <f>ROUND(+C16*$E$9,8)</f>
        <v>15445558.6298548</v>
      </c>
      <c r="E16" s="460"/>
      <c r="F16" s="348"/>
      <c r="G16" s="291"/>
      <c r="H16" s="291"/>
    </row>
    <row r="17" spans="2:8" s="65" customFormat="1" ht="12" customHeight="1">
      <c r="B17" s="69"/>
      <c r="C17" s="513"/>
      <c r="D17" s="473"/>
      <c r="E17" s="459"/>
      <c r="H17" s="210"/>
    </row>
    <row r="18" spans="2:8" s="65" customFormat="1" ht="16.5" customHeight="1">
      <c r="B18" s="362" t="s">
        <v>189</v>
      </c>
      <c r="C18" s="512">
        <f>SUM(C19:C19)</f>
        <v>61419.35197</v>
      </c>
      <c r="D18" s="474">
        <f>SUM(D19:D19)</f>
        <v>248379.85936668</v>
      </c>
      <c r="E18" s="459"/>
      <c r="F18" s="349"/>
      <c r="G18" s="292"/>
      <c r="H18" s="292"/>
    </row>
    <row r="19" spans="2:8" s="65" customFormat="1" ht="16.5" customHeight="1">
      <c r="B19" s="69" t="s">
        <v>24</v>
      </c>
      <c r="C19" s="513">
        <v>61419.35197</v>
      </c>
      <c r="D19" s="473">
        <f>ROUND(+C19*$E$9,8)</f>
        <v>248379.85936668</v>
      </c>
      <c r="E19" s="460"/>
      <c r="F19" s="348"/>
      <c r="H19" s="210"/>
    </row>
    <row r="20" spans="2:8" s="65" customFormat="1" ht="11.25" customHeight="1">
      <c r="B20" s="69"/>
      <c r="C20" s="513"/>
      <c r="D20" s="473"/>
      <c r="E20" s="459"/>
      <c r="H20" s="210"/>
    </row>
    <row r="21" spans="2:8" s="65" customFormat="1" ht="16.5" customHeight="1">
      <c r="B21" s="362" t="s">
        <v>190</v>
      </c>
      <c r="C21" s="512">
        <f>+C22</f>
        <v>4290915.87632</v>
      </c>
      <c r="D21" s="474">
        <f>+D22</f>
        <v>17352463.8038381</v>
      </c>
      <c r="E21" s="459"/>
      <c r="F21" s="349"/>
      <c r="H21" s="210"/>
    </row>
    <row r="22" spans="2:8" s="65" customFormat="1" ht="16.5" customHeight="1">
      <c r="B22" s="69" t="s">
        <v>24</v>
      </c>
      <c r="C22" s="513">
        <v>4290915.87632</v>
      </c>
      <c r="D22" s="473">
        <f>ROUND(+C22*$E$9,8)</f>
        <v>17352463.8038381</v>
      </c>
      <c r="E22" s="460"/>
      <c r="F22" s="348"/>
      <c r="H22" s="210"/>
    </row>
    <row r="23" spans="2:8" s="65" customFormat="1" ht="9.75" customHeight="1">
      <c r="B23" s="68"/>
      <c r="C23" s="514"/>
      <c r="D23" s="472"/>
      <c r="F23" s="348"/>
      <c r="H23" s="210"/>
    </row>
    <row r="24" spans="2:8" s="65" customFormat="1" ht="15" customHeight="1">
      <c r="B24" s="601" t="s">
        <v>61</v>
      </c>
      <c r="C24" s="609">
        <f>+C18+C14+C21</f>
        <v>8715171.1865</v>
      </c>
      <c r="D24" s="613">
        <f>+D18+D14+D21</f>
        <v>35244152.278206065</v>
      </c>
      <c r="F24" s="349"/>
      <c r="H24" s="210"/>
    </row>
    <row r="25" spans="2:8" s="81" customFormat="1" ht="15" customHeight="1">
      <c r="B25" s="602"/>
      <c r="C25" s="610"/>
      <c r="D25" s="614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5" t="s">
        <v>191</v>
      </c>
      <c r="C27" s="521"/>
      <c r="D27" s="455"/>
      <c r="H27" s="210"/>
    </row>
    <row r="28" spans="2:8" s="65" customFormat="1" ht="17.25" customHeight="1">
      <c r="B28" s="455" t="s">
        <v>192</v>
      </c>
      <c r="C28" s="456"/>
      <c r="D28" s="455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31 de julio de 2021</v>
      </c>
      <c r="C37" s="133"/>
      <c r="D37" s="253"/>
      <c r="H37" s="220"/>
    </row>
    <row r="38" spans="2:4" ht="9.75" customHeight="1">
      <c r="B38" s="606"/>
      <c r="C38" s="606"/>
      <c r="D38" s="606"/>
    </row>
    <row r="39" spans="2:4" ht="16.5" customHeight="1">
      <c r="B39" s="592" t="s">
        <v>150</v>
      </c>
      <c r="C39" s="588" t="s">
        <v>87</v>
      </c>
      <c r="D39" s="588" t="s">
        <v>164</v>
      </c>
    </row>
    <row r="40" spans="2:8" s="81" customFormat="1" ht="16.5" customHeight="1">
      <c r="B40" s="593"/>
      <c r="C40" s="589"/>
      <c r="D40" s="589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242951.1274</v>
      </c>
      <c r="D42" s="474">
        <f>SUM(D43:D44)</f>
        <v>982494.3592056</v>
      </c>
      <c r="E42" s="219"/>
      <c r="H42" s="210"/>
    </row>
    <row r="43" spans="2:8" s="65" customFormat="1" ht="16.5" customHeight="1">
      <c r="B43" s="69" t="s">
        <v>24</v>
      </c>
      <c r="C43" s="382">
        <v>242951.1274</v>
      </c>
      <c r="D43" s="473">
        <f>ROUND(+C43*$E$9,8)</f>
        <v>982494.3592056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3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3"/>
      <c r="E45" s="219"/>
      <c r="H45" s="210"/>
    </row>
    <row r="46" spans="2:8" s="65" customFormat="1" ht="16.5" customHeight="1">
      <c r="B46" s="362" t="s">
        <v>159</v>
      </c>
      <c r="C46" s="381">
        <f>+C47</f>
        <v>0</v>
      </c>
      <c r="D46" s="474">
        <f>+D47</f>
        <v>0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0</v>
      </c>
      <c r="D47" s="473">
        <f>ROUND(+C47*$E$9,8)</f>
        <v>0</v>
      </c>
      <c r="E47" s="221"/>
      <c r="F47" s="353"/>
      <c r="H47" s="210"/>
    </row>
    <row r="48" spans="2:8" s="65" customFormat="1" ht="9.75" customHeight="1">
      <c r="B48" s="68"/>
      <c r="C48" s="389"/>
      <c r="D48" s="472"/>
      <c r="H48" s="210"/>
    </row>
    <row r="49" spans="2:8" s="65" customFormat="1" ht="15" customHeight="1">
      <c r="B49" s="601" t="s">
        <v>61</v>
      </c>
      <c r="C49" s="596">
        <f>+C42+C46</f>
        <v>242951.1274</v>
      </c>
      <c r="D49" s="613">
        <f>+D42+D46</f>
        <v>982494.3592056</v>
      </c>
      <c r="H49" s="210"/>
    </row>
    <row r="50" spans="2:8" s="81" customFormat="1" ht="15" customHeight="1">
      <c r="B50" s="602"/>
      <c r="C50" s="597"/>
      <c r="D50" s="614"/>
      <c r="H50" s="206"/>
    </row>
    <row r="51" ht="4.5" customHeight="1"/>
    <row r="52" spans="3:4" ht="12.75">
      <c r="C52" s="436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2021-08-26T12:16:32Z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