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1275" tabRatio="790" activeTab="0"/>
  </bookViews>
  <sheets>
    <sheet name="Indice" sheetId="1" r:id="rId1"/>
    <sheet name="Portada" sheetId="2" r:id="rId2"/>
    <sheet name="Resumen" sheetId="3" r:id="rId3"/>
    <sheet name="Resumen Gráficos" sheetId="4" r:id="rId4"/>
    <sheet name="DEP-C1" sheetId="5" r:id="rId5"/>
    <sheet name="DEP-C2" sheetId="6" r:id="rId6"/>
    <sheet name="DEP-C3" sheetId="7" r:id="rId7"/>
    <sheet name="DEP-C4" sheetId="8" r:id="rId8"/>
    <sheet name="DEP-C5" sheetId="9" r:id="rId9"/>
    <sheet name="DEP-C6" sheetId="10" r:id="rId10"/>
    <sheet name="DEP-C7" sheetId="11" r:id="rId11"/>
    <sheet name="DEP-C8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A_impresión_IM" localSheetId="11">#REF!</definedName>
    <definedName name="A_impresión_IM">#REF!</definedName>
    <definedName name="_xlnm.Print_Area" localSheetId="4">'DEP-C1'!$A$1:$BU$49</definedName>
    <definedName name="_xlnm.Print_Area" localSheetId="5">'DEP-C2'!$B$1:$D$47</definedName>
    <definedName name="_xlnm.Print_Area" localSheetId="6">'DEP-C3'!$B$5:$D$62</definedName>
    <definedName name="_xlnm.Print_Area" localSheetId="7">'DEP-C4'!$B$1:$D$96</definedName>
    <definedName name="_xlnm.Print_Area" localSheetId="8">'DEP-C5'!$B$1:$D$51</definedName>
    <definedName name="_xlnm.Print_Area" localSheetId="9">'DEP-C6'!$B$1:$E$81</definedName>
    <definedName name="_xlnm.Print_Area" localSheetId="10">'DEP-C7'!$B$1:$E$93</definedName>
    <definedName name="_xlnm.Print_Area" localSheetId="11">'DEP-C8'!$B$1:$D$126</definedName>
    <definedName name="_xlnm.Print_Area" localSheetId="0">'Indice'!$B$1:$H$20</definedName>
    <definedName name="_xlnm.Print_Area" localSheetId="1">'Portada'!$B$1:$H$43</definedName>
    <definedName name="_xlnm.Print_Area" localSheetId="2">'Resumen'!$A$1:$K$38</definedName>
    <definedName name="_xlnm.Print_Area" localSheetId="3">'Resumen Gráficos'!$B$1:$H$71</definedName>
    <definedName name="b" localSheetId="4">#REF!</definedName>
    <definedName name="BAS" localSheetId="11">'[1]ADEUDADO'!#REF!</definedName>
    <definedName name="BAS">'[1]ADEUDADO'!#REF!</definedName>
    <definedName name="BASE" localSheetId="11">'[1]ADEUDADO'!#REF!</definedName>
    <definedName name="BASE">'[1]ADEUDADO'!#REF!</definedName>
    <definedName name="basedatos" localSheetId="9">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#N/A</definedName>
    <definedName name="DeudaNom9604" localSheetId="11">#REF!</definedName>
    <definedName name="DeudaNom9604">#REF!</definedName>
    <definedName name="DeudaPorc9604" localSheetId="11">#REF!</definedName>
    <definedName name="DeudaPorc9604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DAD" localSheetId="4">'[2]DSG_HIST_ADEUDADO'!#REF!</definedName>
    <definedName name="ENTIDAD" localSheetId="5">'[2]DSG_HIST_ADEUDADO'!#REF!</definedName>
    <definedName name="ENTIDAD" localSheetId="6">'[2]DSG_HIST_ADEUDADO'!#REF!</definedName>
    <definedName name="ENTIDAD" localSheetId="7">'[2]DSG_HIST_ADEUDADO'!#REF!</definedName>
    <definedName name="ENTIDAD" localSheetId="8">'[2]DSG_HIST_ADEUDADO'!#REF!</definedName>
    <definedName name="ENTIDAD" localSheetId="9">'[2]DSG_HIST_ADEUDADO'!#REF!</definedName>
    <definedName name="entidad" localSheetId="11">#REF!</definedName>
    <definedName name="entidad" localSheetId="0">#REF!</definedName>
    <definedName name="entidad" localSheetId="2">#REF!</definedName>
    <definedName name="entidad" localSheetId="3">#REF!</definedName>
    <definedName name="entidad">#REF!</definedName>
    <definedName name="GRUPO" localSheetId="4">#REF!</definedName>
    <definedName name="Imprimir_área_IM" localSheetId="11">#REF!</definedName>
    <definedName name="Imprimir_área_IM">#REF!</definedName>
    <definedName name="M_OI" localSheetId="11">'[4]SERV. ATENDIDO'!$F$2:$F$5010</definedName>
    <definedName name="M_OI">#N/A</definedName>
    <definedName name="P_C" localSheetId="11">'[4]SERV. ATENDIDO'!$E$2:$E$5010</definedName>
    <definedName name="P_C">#N/A</definedName>
    <definedName name="pepe" localSheetId="11">#REF!</definedName>
    <definedName name="pepe">#REF!</definedName>
    <definedName name="Principal" localSheetId="11">'[4]SERV. ATENDIDO'!$C$2:$C$5010</definedName>
    <definedName name="Principal">#N/A</definedName>
    <definedName name="q" localSheetId="4">#REF!</definedName>
    <definedName name="saldos" localSheetId="4">#REF!</definedName>
    <definedName name="saldos" localSheetId="9">#REF!</definedName>
    <definedName name="saldos" localSheetId="11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v" localSheetId="4">'[3]Dinam'!#REF!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<sst xmlns="http://schemas.openxmlformats.org/spreadsheetml/2006/main" count="670" uniqueCount="264">
  <si>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</si>
  <si>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</si>
  <si>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</si>
  <si>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</si>
  <si>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</si>
  <si>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</si>
  <si>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</si>
  <si>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</si>
  <si>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</si>
  <si>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</si>
  <si>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</si>
  <si>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</si>
  <si>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</si>
  <si>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</si>
  <si>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</si>
  <si>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</si>
  <si>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</si>
  <si>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</si>
  <si>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</si>
  <si>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</si>
  <si>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</si>
  <si>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</si>
  <si>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</si>
  <si>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</si>
  <si>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</si>
  <si>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</si>
  <si>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</si>
  <si>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</si>
  <si>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</si>
  <si>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</si>
  <si>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</si>
  <si>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</si>
  <si>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</si>
  <si>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</si>
  <si>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</si>
  <si>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</si>
  <si>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</si>
  <si>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POR TIPO DE MONEDA</t>
  </si>
  <si>
    <t>Activos Mineros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</si>
  <si>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</si>
  <si>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</si>
  <si>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</si>
  <si>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</si>
  <si>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</si>
  <si>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</si>
  <si>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</si>
  <si>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</si>
  <si>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</si>
  <si>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Amazonas</t>
  </si>
  <si>
    <t>Entidad Prestadora de Servicios de Saneamiento de Moquegua</t>
  </si>
  <si>
    <t>Entidad Prestadora de Servicios de Saneamiento Chavín</t>
  </si>
  <si>
    <t>Empresa Municipal de Agua Potable y Alcantarrillado de  Cañete</t>
  </si>
  <si>
    <t>Emp.Municipal Prestadora de Servicio de Saneamiento de las Provincias Alto Andinas</t>
  </si>
  <si>
    <t>Entidad Prestadora de Servicios de Saneamiento Selva Central</t>
  </si>
  <si>
    <t>Empresa Municipal de Agua Potable y Alcantarrillado de Huaral</t>
  </si>
  <si>
    <t>Entidad Prestadora de Servicios de Saneamiento de Moyobamba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</si>
  <si>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</si>
  <si>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</si>
  <si>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</si>
  <si>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</si>
  <si>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</si>
  <si>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</si>
  <si>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</si>
  <si>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</si>
  <si>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No Financieras</t>
  </si>
  <si>
    <t>PORTADA</t>
  </si>
  <si>
    <t>GRUPO DEL ACREEDOR</t>
  </si>
  <si>
    <t>Aguas de Tumbes - ATUSA</t>
  </si>
  <si>
    <t>Nota</t>
  </si>
  <si>
    <t>En algunos cuadros el total no coincide con la suma de los componentes, debido al redondeo de las cifras.</t>
  </si>
  <si>
    <t>Interna</t>
  </si>
  <si>
    <t>Externa</t>
  </si>
  <si>
    <t>Créditos</t>
  </si>
  <si>
    <t>Bonos</t>
  </si>
  <si>
    <t>Banca Comercial</t>
  </si>
  <si>
    <t>US Dólares</t>
  </si>
  <si>
    <t>Yenes</t>
  </si>
  <si>
    <t>Euros</t>
  </si>
  <si>
    <t>Mediano y Largo Plazo</t>
  </si>
  <si>
    <t>Corto Plazo</t>
  </si>
  <si>
    <t>Valoración</t>
  </si>
  <si>
    <t>Dirección General de Endeudamiento y Tesoro Público.</t>
  </si>
  <si>
    <t>La información se presenta a valor nominal.</t>
  </si>
  <si>
    <t xml:space="preserve"> FONDO NACIONAL DE FINANCIAMIENTO DE LA ACTIVIDAD EMPRES. DEL ESTADO</t>
  </si>
  <si>
    <t xml:space="preserve"> OTROS</t>
  </si>
  <si>
    <t>Miles de US dólares</t>
  </si>
  <si>
    <t xml:space="preserve">Ministerio de Economía y Finanzas   </t>
  </si>
  <si>
    <t>I. EMPRESAS NO FINANCIERAS</t>
  </si>
  <si>
    <t>II. EMPRESAS FINANCIERAS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</si>
  <si>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</si>
  <si>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</si>
  <si>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</si>
  <si>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</si>
  <si>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</si>
  <si>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</si>
  <si>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</si>
  <si>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</si>
  <si>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</si>
  <si>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</si>
  <si>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</si>
  <si>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</si>
  <si>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</si>
  <si>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</si>
  <si>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</si>
  <si>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</si>
  <si>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Corporación Financiera de Desarrollo (COFIDE)</t>
  </si>
  <si>
    <t>Servicio de Agua Potable y Alcantarillado de Lima (SEDAPAL)</t>
  </si>
  <si>
    <t>Empresa Nacional de Telecomunicaciones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</si>
  <si>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</si>
  <si>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</si>
  <si>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</si>
  <si>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</si>
  <si>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</si>
  <si>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</si>
  <si>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</si>
  <si>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</si>
  <si>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</si>
  <si>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</si>
  <si>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</si>
  <si>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</si>
  <si>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</si>
  <si>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</si>
  <si>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</si>
  <si>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>Banca Estatal Nacional</t>
  </si>
  <si>
    <t>Banco Estatal Nacional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</si>
  <si>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</si>
  <si>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</si>
  <si>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</si>
  <si>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</si>
  <si>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</si>
  <si>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</si>
  <si>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</si>
  <si>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</si>
  <si>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</si>
  <si>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</si>
  <si>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</si>
  <si>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</si>
  <si>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</si>
  <si>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Residencia del Acreedor</t>
  </si>
  <si>
    <t>Jul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</si>
  <si>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</si>
  <si>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</si>
  <si>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Servicio de Agua Potable y Alcantarillado de La Libertad</t>
  </si>
  <si>
    <t>Set</t>
  </si>
  <si>
    <t xml:space="preserve">DEUDA INTERNA  </t>
  </si>
  <si>
    <t xml:space="preserve">DEUDA EXTERNA  </t>
  </si>
  <si>
    <t>Oct</t>
  </si>
  <si>
    <t>Grupo Empresarial del Deudor</t>
  </si>
  <si>
    <t>Nov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</si>
  <si>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</si>
  <si>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POR TIPO DE DEUDA Y TIPO DE EMPRESA</t>
  </si>
  <si>
    <t>TIPO DE DEUDA</t>
  </si>
  <si>
    <t>POR TIPO DE DEUDA</t>
  </si>
  <si>
    <t>Tipo de Deuda /                            Tipo de Empresa</t>
  </si>
  <si>
    <t>BBVA Banco Continental</t>
  </si>
  <si>
    <t>Empresa de Generación Eléctrica del Sur</t>
  </si>
  <si>
    <t>OTROS</t>
  </si>
  <si>
    <t>Dirección de Programación, Presupuesto y Contabilidad - Equipo de Trabajo de Estadística.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</si>
  <si>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</si>
  <si>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</si>
  <si>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</si>
  <si>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</si>
  <si>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DE CORTO, MEDIANO Y LARGO PLAZO</t>
  </si>
  <si>
    <t>Agencia Francesa De Desarrollo</t>
  </si>
  <si>
    <t>Sociedad Electrica del Sur Oeste</t>
  </si>
  <si>
    <t>Empresa Regional de Servicio Público de Electricidad del Norte</t>
  </si>
  <si>
    <t>Fondo Hipotecario de Promocion de la Vivienda - Fondo MIVIVIENDA</t>
  </si>
  <si>
    <t>Empresa de Servicio Público de Electricidad Electro Norte Medio</t>
  </si>
  <si>
    <t>Tipo de cambio bancario venta al final del mes de diciembre, según la Superintendencia de Banca y Seguros -  SBS.</t>
  </si>
  <si>
    <t>Dic</t>
  </si>
  <si>
    <t>CUADROS RESUMEN</t>
  </si>
  <si>
    <t>RESUMEN GRÁFICOS</t>
  </si>
  <si>
    <t>Dólar Estadounidense (US$)</t>
  </si>
  <si>
    <t>Yen (¥)</t>
  </si>
  <si>
    <t>Unión Económica y Monetaria Europea (EURO)</t>
  </si>
  <si>
    <t>Corporacion Andina de Fomento</t>
  </si>
  <si>
    <t>Agencia Francesa de Desarrollo</t>
  </si>
  <si>
    <t>Banco de La Nación</t>
  </si>
  <si>
    <t>Fondo Nacional de Vivienda</t>
  </si>
  <si>
    <t>Comisión Nacional de Zonas Francas de Desarrollo</t>
  </si>
  <si>
    <t>Banco Internacional del Perú</t>
  </si>
  <si>
    <t>Banco de la Nación</t>
  </si>
  <si>
    <t>Banco de Credito del Perú</t>
  </si>
  <si>
    <t>Scotiabank Perú</t>
  </si>
  <si>
    <r>
      <t xml:space="preserve">EMPRESAS DE LOS GR Y GL   </t>
    </r>
    <r>
      <rPr>
        <b/>
        <sz val="9"/>
        <rFont val="Arial"/>
        <family val="2"/>
      </rPr>
      <t>1/</t>
    </r>
  </si>
  <si>
    <r>
      <t xml:space="preserve">OTROS   </t>
    </r>
    <r>
      <rPr>
        <b/>
        <sz val="9"/>
        <rFont val="Arial"/>
        <family val="2"/>
      </rPr>
      <t>2/</t>
    </r>
  </si>
  <si>
    <t xml:space="preserve"> 1/  Incluye OPD'S: Organismos Públicos Descentralizados de los Gobiernos Regionales y Locales.</t>
  </si>
  <si>
    <t xml:space="preserve"> 2/  La deuda corresponde sólo a PetroPerú.</t>
  </si>
  <si>
    <t>Empresa Regional de Servicio Publico de Electricidad del Oriente</t>
  </si>
  <si>
    <t>Empresa Regional de Servicio Público de Electricidad del Sur</t>
  </si>
  <si>
    <t>Empresa Regional de Servicio Público de Electricidad Electronoroeste</t>
  </si>
  <si>
    <t>Empresa Municipal de Servicios de Agua Potable y Alcantarillado de Huanuco</t>
  </si>
  <si>
    <t>Entidad Municipal Prestadora de Servicios de Saneamiento del Cusco</t>
  </si>
  <si>
    <t>Entidad Prestadora de Servicio de Saneamiento Grau</t>
  </si>
  <si>
    <t>Petróleos del Perú</t>
  </si>
  <si>
    <r>
      <t xml:space="preserve">  I. DEUDA DIRECTA SIN GARANTÍA   </t>
    </r>
    <r>
      <rPr>
        <b/>
        <sz val="9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</si>
  <si>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>2/</t>
    </r>
  </si>
  <si>
    <t xml:space="preserve"> 1/  Deuda contratada por las empresas públicas sin la garantía del Gobierno Nacional.</t>
  </si>
  <si>
    <t xml:space="preserve"> 2/  Deuda contratada por el Gobierno Nacional y trasladada a las empresas públicas con Convenios de Traspaso de Recursos.</t>
  </si>
  <si>
    <t>Entidad Prestadora de Servicios de Saneamiento de Agua Potable y Alcantarillado de Loreto</t>
  </si>
  <si>
    <t>Empresa Municipal de Agua Potable y Alcantarillado de Huaral</t>
  </si>
  <si>
    <t>Empresa Municipal de Agua Potable y Alcantarillado Cañete</t>
  </si>
  <si>
    <t>Servicio de Agua Potable y Alcantarillado de Lima - SEDAPAL</t>
  </si>
  <si>
    <t>Corporación Financiera de Desarrollo - COFIDE</t>
  </si>
  <si>
    <t>Corporacion Financiera de Desarrollo - COFIDE</t>
  </si>
  <si>
    <t xml:space="preserve"> Tipo de Empresa /</t>
  </si>
  <si>
    <t>Grupo del Acreedor</t>
  </si>
  <si>
    <t>Equiv. miles soles</t>
  </si>
  <si>
    <t>Ministerio de Economía y Finanzas</t>
  </si>
  <si>
    <t>EVOLUCIÓN DE LA DEUDA DE LAS EMPRESAS PÚBLICAS - POR TIPO DE DEUDA</t>
  </si>
  <si>
    <r>
      <t xml:space="preserve"> FONDO NACIONAL DE FINANCIAMIENTO DE LA ACTIVIDAD EMPRES. DEL ESTADO</t>
    </r>
    <r>
      <rPr>
        <b/>
        <sz val="11"/>
        <rFont val="Arial"/>
        <family val="2"/>
      </rPr>
      <t xml:space="preserve"> (FONAFE)</t>
    </r>
  </si>
  <si>
    <t>Empresa Regional de Servicio Público de Electricidad del Centro</t>
  </si>
  <si>
    <r>
      <t xml:space="preserve">Bonistas Externos  </t>
    </r>
    <r>
      <rPr>
        <b/>
        <sz val="9"/>
        <rFont val="Arial"/>
        <family val="2"/>
      </rPr>
      <t>3/</t>
    </r>
  </si>
  <si>
    <r>
      <t xml:space="preserve">Bonistas Externos </t>
    </r>
    <r>
      <rPr>
        <b/>
        <sz val="9"/>
        <rFont val="Arial"/>
        <family val="2"/>
      </rPr>
      <t xml:space="preserve"> 1/</t>
    </r>
  </si>
  <si>
    <r>
      <t xml:space="preserve">Ministerio de Economía y Finanzas  </t>
    </r>
    <r>
      <rPr>
        <b/>
        <sz val="9"/>
        <rFont val="Arial"/>
        <family val="2"/>
      </rPr>
      <t>2/</t>
    </r>
  </si>
  <si>
    <r>
      <t xml:space="preserve">Bonistas Internos  </t>
    </r>
    <r>
      <rPr>
        <b/>
        <sz val="9"/>
        <rFont val="Arial"/>
        <family val="2"/>
      </rPr>
      <t>4/</t>
    </r>
  </si>
  <si>
    <t xml:space="preserve"> 2/  Incluye deuda contratada por el Gobierno Nacional y trasladada a las Empresas Públicas con Convenio de Traspasos de Recursos.</t>
  </si>
  <si>
    <r>
      <t xml:space="preserve">Bonistas Externos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</si>
  <si>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 xml:space="preserve">2/ </t>
    </r>
  </si>
  <si>
    <r>
      <t xml:space="preserve">Bonistas Externos   </t>
    </r>
    <r>
      <rPr>
        <b/>
        <sz val="8"/>
        <rFont val="Arial"/>
        <family val="2"/>
      </rPr>
      <t>3/</t>
    </r>
  </si>
  <si>
    <r>
      <t xml:space="preserve">Bonistas Internos   </t>
    </r>
    <r>
      <rPr>
        <b/>
        <sz val="8"/>
        <rFont val="Arial"/>
        <family val="2"/>
      </rPr>
      <t>4/</t>
    </r>
  </si>
  <si>
    <t>Servicio de Abastecimiento de Agua Potable y Alcantarillado Juliaca</t>
  </si>
  <si>
    <r>
      <t xml:space="preserve">   </t>
    </r>
    <r>
      <rPr>
        <b/>
        <u val="single"/>
        <sz val="10"/>
        <rFont val="Arial"/>
        <family val="2"/>
      </rPr>
      <t>%</t>
    </r>
  </si>
  <si>
    <t xml:space="preserve">Empresa Regional de Servicio Público de Electricidad del Norte </t>
  </si>
  <si>
    <t>Deutsche Bank S.A.E</t>
  </si>
  <si>
    <t>Kreditanstalt Fur Wiederaufbau - KFW</t>
  </si>
  <si>
    <t>Instituto de Crédito Oficial de España</t>
  </si>
  <si>
    <t>May</t>
  </si>
  <si>
    <t>Fábrica de Armas y Municiones del Ejército</t>
  </si>
  <si>
    <t>Scotiabank</t>
  </si>
  <si>
    <t>Empresa de Servicio Público de Electricidad Electro Norte Medio S.A.</t>
  </si>
  <si>
    <t>Empresa Regional de Servicio Público de Electricidad Electronoroeste S.A.</t>
  </si>
  <si>
    <t>Empresa Regional de Servicios Publico de Electricidad del Centro S.A.</t>
  </si>
  <si>
    <t>Empresa Regional de Servicio Público de Electricidad del Norte S.A.</t>
  </si>
  <si>
    <t>Empresa Regional de Servicios Público de Electricidad del Oriente S.A.</t>
  </si>
  <si>
    <t>Sep</t>
  </si>
  <si>
    <t>Empresa Nacional de la Coca</t>
  </si>
  <si>
    <t xml:space="preserve"> 1/  Incluye: Bonos PETROPERU por US$ 3 000,0 millones.</t>
  </si>
  <si>
    <t>Banco Latinoamericno de Comercio Exterior</t>
  </si>
  <si>
    <t>Banco Latinoamericano de Comercio Exterior S.A.</t>
  </si>
  <si>
    <t>Servicios Postales del Perú</t>
  </si>
  <si>
    <t>JPMORGAN CHASE BANK</t>
  </si>
  <si>
    <t>SERVICIOS POSTALES DEL PERÚ S.A</t>
  </si>
  <si>
    <t>Servicios Postales del Peru S.A.</t>
  </si>
  <si>
    <t>Servicios Industriales de la Marina</t>
  </si>
  <si>
    <t>Empresa Electricidad del Perú</t>
  </si>
  <si>
    <t>Citibank</t>
  </si>
  <si>
    <t>Citibank N.A.</t>
  </si>
  <si>
    <t>Empresa Regional de Servicio Público de Electricidad del Norte Medio</t>
  </si>
  <si>
    <t>Banco Interamericano de Finanzas</t>
  </si>
  <si>
    <t>DZ BANK AG, NEW YORK BRANCH</t>
  </si>
  <si>
    <t>DEUTSCHE BANK AG LONDON BRANCH</t>
  </si>
  <si>
    <t>CONTINENTAL SAECA</t>
  </si>
  <si>
    <t>ALIADO S.A.</t>
  </si>
  <si>
    <t>Banco Wiese Sudameris</t>
  </si>
  <si>
    <t>BANCO WIESE SUDAMERIS</t>
  </si>
  <si>
    <t>Aliado S.A.</t>
  </si>
  <si>
    <t xml:space="preserve">Se presenta la deuda de corto plazo y de mediano y largo plazo.                                                         </t>
  </si>
  <si>
    <t xml:space="preserve"> 3/  Incluye: Bonos COFIDE por US$ 1 166,5 millones y Bonos Fondo MIVIVIENDA por US$ 600,0 millones.</t>
  </si>
  <si>
    <t>AL 31 DE MARZO 2024</t>
  </si>
  <si>
    <t>Al 31 de marzo de 2024</t>
  </si>
  <si>
    <t>Período: De 2009 al 31 de marzo 2024</t>
  </si>
  <si>
    <t>BANCO BILBAO VIZCAYA ARGENTARIA S.A.</t>
  </si>
  <si>
    <t xml:space="preserve"> 4/  Incluye: Bonos COFIDE por US$ 285,3 millones y Bonos Fondo MIVIVIENDA por US$ 215,1 millones.</t>
  </si>
</sst>
</file>

<file path=xl/styles.xml><?xml version="1.0" encoding="utf-8"?>
<styleSheet xmlns="http://schemas.openxmlformats.org/spreadsheetml/2006/main">
  <numFmts count="7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_([$€]\ * #,##0.00_);_([$€]\ * \(#,##0.00\);_([$€]\ * &quot;-&quot;??_);_(@_)"/>
    <numFmt numFmtId="169" formatCode="#\ ###\ ###;[Red]\-#,\ ###,\ ###,000"/>
    <numFmt numFmtId="170" formatCode="_ * #,##0_ ;_ * \-#,##0_ ;_ * &quot;-&quot;??_ ;_ @_ "/>
    <numFmt numFmtId="171" formatCode="_ * #,##0_ ;_ * \-#,##0_ ;_ * &quot;0&quot;??_ ;_ @_ "/>
    <numFmt numFmtId="172" formatCode="###,###,###,###,###"/>
    <numFmt numFmtId="173" formatCode="0.0%"/>
    <numFmt numFmtId="174" formatCode="0.000"/>
    <numFmt numFmtId="175" formatCode="_ * #,##0.0_ ;_ * \-#,##0.0_ ;_ * &quot;-&quot;??_ ;_ @_ "/>
    <numFmt numFmtId="176" formatCode="0.0000"/>
    <numFmt numFmtId="177" formatCode="#,##0.00000000;[Red]\-#,##0.00000000"/>
    <numFmt numFmtId="178" formatCode="_ * #,##0.000_ ;_ * \-#,##0.000_ ;_ * &quot;-&quot;??_ ;_ @_ "/>
    <numFmt numFmtId="179" formatCode="#,##0.000000000;[Red]\-#,##0.000000000"/>
    <numFmt numFmtId="180" formatCode="#,##0.00000000000;[Red]\-#,##0.00000000000"/>
    <numFmt numFmtId="181" formatCode="#,##0.000000000000000;[Red]\-#,##0.000000000000000"/>
    <numFmt numFmtId="182" formatCode="0.00000"/>
    <numFmt numFmtId="183" formatCode="0.0000000"/>
    <numFmt numFmtId="184" formatCode="0.000000000"/>
    <numFmt numFmtId="185" formatCode="###,###,###,###,###.0"/>
    <numFmt numFmtId="186" formatCode="0.0000000000"/>
    <numFmt numFmtId="187" formatCode="0.00000000000"/>
    <numFmt numFmtId="188" formatCode="0.0000000000000"/>
    <numFmt numFmtId="189" formatCode="0.00000000000000"/>
    <numFmt numFmtId="190" formatCode="0.000000000000000"/>
    <numFmt numFmtId="191" formatCode="0.000000"/>
    <numFmt numFmtId="192" formatCode="0.00000000"/>
    <numFmt numFmtId="193" formatCode="0.000000000000"/>
    <numFmt numFmtId="194" formatCode="#,##0.0000000000;[Red]\-#,##0.0000000000"/>
    <numFmt numFmtId="195" formatCode="#,##0.0000000000000;[Red]\-#,##0.0000000000000"/>
    <numFmt numFmtId="196" formatCode="#.#;[Red]\-#.###0"/>
    <numFmt numFmtId="197" formatCode="#,##0.0;[Red]\-#,##0.0"/>
    <numFmt numFmtId="198" formatCode="#,##0.0"/>
    <numFmt numFmtId="199" formatCode="0.0_ ;[Red]\-0.0\ "/>
    <numFmt numFmtId="200" formatCode="#,##0.00000000000"/>
    <numFmt numFmtId="201" formatCode="#,##0.000000;[Red]\-#,##0.000000"/>
    <numFmt numFmtId="202" formatCode="#,##0.0000000;[Red]\-#,##0.0000000"/>
    <numFmt numFmtId="203" formatCode="###,###,###,###.0000"/>
    <numFmt numFmtId="204" formatCode="#,##0.00000;[Red]\-#,##0.00000"/>
    <numFmt numFmtId="205" formatCode="#,##0.000;[Red]\-#,##0.000"/>
    <numFmt numFmtId="206" formatCode="#,##0.00000000"/>
    <numFmt numFmtId="207" formatCode="#,##0.000000000000;[Red]\-#,##0.000000000000"/>
    <numFmt numFmtId="208" formatCode="#,##0.000000;\-#,##0.000000"/>
    <numFmt numFmtId="209" formatCode="#,##0.0000;[Red]\-#,##0.0000"/>
    <numFmt numFmtId="210" formatCode="#,##0.0000000000;\-#,##0.0000000000"/>
    <numFmt numFmtId="211" formatCode="#,##0.00000000;\-#,##0.00000000"/>
    <numFmt numFmtId="212" formatCode="#,##0.0_ ;[Red]\-#,##0.0\ "/>
    <numFmt numFmtId="213" formatCode="#,##0_ ;[Red]\-#,##0\ "/>
    <numFmt numFmtId="214" formatCode="#,##0.000"/>
    <numFmt numFmtId="215" formatCode="#,##0.00000"/>
    <numFmt numFmtId="216" formatCode="#,##0;[Red]#,##0"/>
    <numFmt numFmtId="217" formatCode="#,##0.000000"/>
    <numFmt numFmtId="218" formatCode="#,##0.00000;\-#,##0.00000"/>
    <numFmt numFmtId="219" formatCode="#,##0.000000_ ;\-#,##0.000000\ "/>
    <numFmt numFmtId="220" formatCode="#,##0.000000000"/>
    <numFmt numFmtId="221" formatCode="#,##0.0000;\-#,##0.0000"/>
    <numFmt numFmtId="222" formatCode="#,##0.0;\-#,##0.0"/>
    <numFmt numFmtId="223" formatCode="#,##0.00000;[Red]#,##0.00000"/>
    <numFmt numFmtId="224" formatCode="#,##0.0000000"/>
    <numFmt numFmtId="225" formatCode="#,##0_);\(#,##0\)"/>
    <numFmt numFmtId="226" formatCode="0.0"/>
  </numFmts>
  <fonts count="10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.45"/>
      <color indexed="8"/>
      <name val="Calibri"/>
      <family val="2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sz val="11"/>
      <color indexed="22"/>
      <name val="Arial"/>
      <family val="2"/>
    </font>
    <font>
      <sz val="9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5"/>
      <name val="Arial"/>
      <family val="2"/>
    </font>
    <font>
      <sz val="9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sz val="11"/>
      <color theme="0" tint="-0.14999000728130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24997000396251678"/>
      <name val="Arial"/>
      <family val="2"/>
    </font>
    <font>
      <sz val="11"/>
      <color theme="10"/>
      <name val="Arial"/>
      <family val="2"/>
    </font>
    <font>
      <sz val="9"/>
      <color theme="0" tint="-0.24997000396251678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indexed="23"/>
      </right>
      <top/>
      <bottom/>
    </border>
    <border>
      <left style="thin">
        <color rgb="FF808080"/>
      </left>
      <right style="thin">
        <color indexed="23"/>
      </right>
      <top/>
      <bottom style="thin">
        <color indexed="2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rgb="FF808080"/>
      </right>
      <top/>
      <bottom style="thin">
        <color indexed="23"/>
      </bottom>
    </border>
    <border>
      <left/>
      <right style="thin">
        <color rgb="FF808080"/>
      </right>
      <top style="thin">
        <color indexed="23"/>
      </top>
      <bottom/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 style="thin">
        <color indexed="23"/>
      </bottom>
    </border>
    <border>
      <left style="thin">
        <color rgb="FF808080"/>
      </left>
      <right/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23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 style="thin">
        <color rgb="FF808080"/>
      </top>
      <bottom/>
    </border>
    <border>
      <left/>
      <right/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indexed="23"/>
      </bottom>
    </border>
    <border>
      <left/>
      <right/>
      <top style="thin">
        <color rgb="FF808080"/>
      </top>
      <bottom style="thin">
        <color indexed="23"/>
      </bottom>
    </border>
    <border>
      <left/>
      <right style="thin">
        <color theme="0" tint="-0.4999699890613556"/>
      </right>
      <top/>
      <bottom/>
    </border>
    <border>
      <left style="thin">
        <color indexed="23"/>
      </left>
      <right style="thin">
        <color rgb="FF808080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indexed="23"/>
      </right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/>
    </border>
    <border>
      <left style="thin">
        <color indexed="55"/>
      </left>
      <right style="thin">
        <color indexed="55"/>
      </right>
      <top/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indexed="23"/>
      </left>
      <right style="thin"/>
      <top>
        <color indexed="63"/>
      </top>
      <bottom>
        <color indexed="63"/>
      </bottom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4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5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5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5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5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8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5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5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5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5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5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2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6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7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1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2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72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70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0" fontId="7" fillId="47" borderId="0" xfId="0" applyFont="1" applyFill="1" applyAlignment="1">
      <alignment/>
    </xf>
    <xf numFmtId="0" fontId="6" fillId="47" borderId="20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0" fontId="11" fillId="47" borderId="21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1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right" vertical="center" wrapText="1" indent="1"/>
      <protection/>
    </xf>
    <xf numFmtId="37" fontId="33" fillId="47" borderId="22" xfId="300" applyNumberFormat="1" applyFont="1" applyFill="1" applyBorder="1" applyAlignment="1">
      <alignment horizontal="right" vertical="center" wrapText="1" indent="2"/>
    </xf>
    <xf numFmtId="37" fontId="33" fillId="47" borderId="22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8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165" fontId="0" fillId="47" borderId="0" xfId="305" applyFont="1" applyFill="1" applyAlignment="1">
      <alignment horizontal="center"/>
    </xf>
    <xf numFmtId="170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70" fontId="0" fillId="47" borderId="0" xfId="300" applyNumberFormat="1" applyFont="1" applyFill="1" applyBorder="1" applyAlignment="1">
      <alignment wrapText="1"/>
    </xf>
    <xf numFmtId="165" fontId="0" fillId="47" borderId="0" xfId="305" applyFont="1" applyFill="1" applyAlignment="1">
      <alignment horizontal="left" indent="2"/>
    </xf>
    <xf numFmtId="170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1" fillId="47" borderId="0" xfId="289" applyFont="1" applyFill="1" applyAlignment="1" applyProtection="1">
      <alignment vertical="center"/>
      <protection/>
    </xf>
    <xf numFmtId="0" fontId="39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2" xfId="0" applyFont="1" applyFill="1" applyBorder="1" applyAlignment="1">
      <alignment horizontal="left" vertical="center" indent="1"/>
    </xf>
    <xf numFmtId="0" fontId="8" fillId="48" borderId="22" xfId="0" applyFont="1" applyFill="1" applyBorder="1" applyAlignment="1">
      <alignment horizontal="left" vertical="center" indent="2"/>
    </xf>
    <xf numFmtId="0" fontId="8" fillId="48" borderId="0" xfId="0" applyFont="1" applyFill="1" applyAlignment="1">
      <alignment/>
    </xf>
    <xf numFmtId="0" fontId="8" fillId="48" borderId="22" xfId="0" applyFont="1" applyFill="1" applyBorder="1" applyAlignment="1">
      <alignment horizontal="left" vertical="center" indent="1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0" fontId="8" fillId="48" borderId="19" xfId="0" applyFont="1" applyFill="1" applyBorder="1" applyAlignment="1">
      <alignment horizontal="lef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8" fillId="48" borderId="0" xfId="0" applyFont="1" applyFill="1" applyAlignment="1">
      <alignment vertical="center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0" fontId="33" fillId="48" borderId="19" xfId="323" applyFont="1" applyFill="1" applyBorder="1" applyAlignment="1">
      <alignment horizontal="left" vertical="center" indent="2"/>
      <protection/>
    </xf>
    <xf numFmtId="0" fontId="8" fillId="48" borderId="0" xfId="323" applyFont="1" applyFill="1">
      <alignment/>
      <protection/>
    </xf>
    <xf numFmtId="0" fontId="11" fillId="48" borderId="19" xfId="323" applyFont="1" applyFill="1" applyBorder="1" applyAlignment="1">
      <alignment horizontal="left" vertical="center" indent="2"/>
      <protection/>
    </xf>
    <xf numFmtId="0" fontId="6" fillId="48" borderId="19" xfId="323" applyFont="1" applyFill="1" applyBorder="1" applyAlignment="1">
      <alignment horizontal="left" vertical="center"/>
      <protection/>
    </xf>
    <xf numFmtId="0" fontId="33" fillId="48" borderId="22" xfId="0" applyFont="1" applyFill="1" applyBorder="1" applyAlignment="1">
      <alignment horizontal="left" vertical="center" indent="3"/>
    </xf>
    <xf numFmtId="0" fontId="7" fillId="48" borderId="0" xfId="0" applyFont="1" applyFill="1" applyAlignment="1">
      <alignment/>
    </xf>
    <xf numFmtId="0" fontId="33" fillId="48" borderId="22" xfId="0" applyFont="1" applyFill="1" applyBorder="1" applyAlignment="1">
      <alignment horizontal="left" vertical="center" indent="2"/>
    </xf>
    <xf numFmtId="0" fontId="8" fillId="48" borderId="24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0" fontId="8" fillId="48" borderId="19" xfId="0" applyFont="1" applyFill="1" applyBorder="1" applyAlignment="1">
      <alignment horizontal="left" vertical="center" indent="1"/>
    </xf>
    <xf numFmtId="0" fontId="11" fillId="48" borderId="25" xfId="0" applyFont="1" applyFill="1" applyBorder="1" applyAlignment="1">
      <alignment horizontal="center" vertical="center" wrapText="1"/>
    </xf>
    <xf numFmtId="0" fontId="10" fillId="48" borderId="0" xfId="0" applyFont="1" applyFill="1" applyAlignment="1">
      <alignment vertical="center" wrapText="1"/>
    </xf>
    <xf numFmtId="0" fontId="6" fillId="48" borderId="22" xfId="0" applyFont="1" applyFill="1" applyBorder="1" applyAlignment="1">
      <alignment horizontal="center" vertical="center" wrapText="1"/>
    </xf>
    <xf numFmtId="169" fontId="3" fillId="48" borderId="0" xfId="300" applyNumberFormat="1" applyFont="1" applyFill="1" applyBorder="1" applyAlignment="1">
      <alignment horizontal="center" vertical="center"/>
    </xf>
    <xf numFmtId="193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38" fontId="5" fillId="48" borderId="0" xfId="300" applyNumberFormat="1" applyFont="1" applyFill="1" applyBorder="1" applyAlignment="1">
      <alignment horizontal="center" vertical="center"/>
    </xf>
    <xf numFmtId="177" fontId="0" fillId="48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0" fontId="11" fillId="48" borderId="22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72" fontId="6" fillId="48" borderId="0" xfId="300" applyNumberFormat="1" applyFont="1" applyFill="1" applyBorder="1" applyAlignment="1">
      <alignment horizontal="right" vertical="center" indent="2"/>
    </xf>
    <xf numFmtId="0" fontId="6" fillId="47" borderId="26" xfId="323" applyFont="1" applyFill="1" applyBorder="1" applyAlignment="1">
      <alignment horizontal="center" vertical="center" wrapText="1"/>
      <protection/>
    </xf>
    <xf numFmtId="0" fontId="6" fillId="47" borderId="26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0" xfId="0" applyFont="1" applyFill="1" applyBorder="1" applyAlignment="1">
      <alignment horizontal="center" vertical="center"/>
    </xf>
    <xf numFmtId="0" fontId="7" fillId="48" borderId="0" xfId="323" applyFont="1" applyFill="1">
      <alignment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70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0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0" xfId="331" applyFont="1" applyFill="1" applyBorder="1" applyAlignment="1">
      <alignment horizontal="center" vertical="center" wrapText="1"/>
      <protection/>
    </xf>
    <xf numFmtId="0" fontId="0" fillId="48" borderId="30" xfId="331" applyFont="1" applyFill="1" applyBorder="1" applyAlignment="1">
      <alignment horizontal="left" vertical="center" indent="1"/>
      <protection/>
    </xf>
    <xf numFmtId="0" fontId="3" fillId="48" borderId="31" xfId="331" applyFont="1" applyFill="1" applyBorder="1" applyAlignment="1">
      <alignment horizontal="center" vertical="center"/>
      <protection/>
    </xf>
    <xf numFmtId="170" fontId="0" fillId="48" borderId="0" xfId="331" applyNumberFormat="1" applyFont="1" applyFill="1" applyBorder="1" applyAlignment="1">
      <alignment vertical="center"/>
      <protection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vertical="center"/>
    </xf>
    <xf numFmtId="0" fontId="0" fillId="48" borderId="0" xfId="323" applyFont="1" applyFill="1" applyAlignment="1">
      <alignment vertical="center"/>
      <protection/>
    </xf>
    <xf numFmtId="179" fontId="0" fillId="48" borderId="0" xfId="0" applyNumberFormat="1" applyFont="1" applyFill="1" applyAlignment="1">
      <alignment/>
    </xf>
    <xf numFmtId="0" fontId="83" fillId="48" borderId="0" xfId="0" applyFont="1" applyFill="1" applyAlignment="1">
      <alignment/>
    </xf>
    <xf numFmtId="0" fontId="5" fillId="48" borderId="0" xfId="0" applyFont="1" applyFill="1" applyBorder="1" applyAlignment="1">
      <alignment vertical="center"/>
    </xf>
    <xf numFmtId="203" fontId="33" fillId="48" borderId="0" xfId="300" applyNumberFormat="1" applyFont="1" applyFill="1" applyBorder="1" applyAlignment="1">
      <alignment horizontal="right" vertical="center" indent="3"/>
    </xf>
    <xf numFmtId="0" fontId="10" fillId="48" borderId="0" xfId="0" applyFont="1" applyFill="1" applyAlignment="1">
      <alignment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7" xfId="0" applyFont="1" applyFill="1" applyBorder="1" applyAlignment="1">
      <alignment horizontal="center" vertical="center" wrapText="1"/>
    </xf>
    <xf numFmtId="170" fontId="6" fillId="48" borderId="0" xfId="300" applyNumberFormat="1" applyFont="1" applyFill="1" applyBorder="1" applyAlignment="1">
      <alignment horizontal="center" vertical="center"/>
    </xf>
    <xf numFmtId="0" fontId="11" fillId="48" borderId="32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left" vertical="center" indent="2"/>
    </xf>
    <xf numFmtId="0" fontId="0" fillId="48" borderId="24" xfId="0" applyFont="1" applyFill="1" applyBorder="1" applyAlignment="1">
      <alignment horizontal="left" vertical="center" indent="2"/>
    </xf>
    <xf numFmtId="0" fontId="6" fillId="48" borderId="32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4" fillId="48" borderId="0" xfId="331" applyFill="1">
      <alignment/>
      <protection/>
    </xf>
    <xf numFmtId="182" fontId="35" fillId="48" borderId="0" xfId="331" applyNumberFormat="1" applyFont="1" applyFill="1">
      <alignment/>
      <protection/>
    </xf>
    <xf numFmtId="193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86" fontId="0" fillId="48" borderId="0" xfId="331" applyNumberFormat="1" applyFont="1" applyFill="1" applyBorder="1" applyAlignment="1">
      <alignment vertical="center"/>
      <protection/>
    </xf>
    <xf numFmtId="188" fontId="0" fillId="48" borderId="0" xfId="0" applyNumberFormat="1" applyFont="1" applyFill="1" applyAlignment="1">
      <alignment vertical="center"/>
    </xf>
    <xf numFmtId="186" fontId="0" fillId="47" borderId="0" xfId="300" applyNumberFormat="1" applyFont="1" applyFill="1" applyAlignment="1">
      <alignment/>
    </xf>
    <xf numFmtId="38" fontId="8" fillId="48" borderId="27" xfId="300" applyNumberFormat="1" applyFont="1" applyFill="1" applyBorder="1" applyAlignment="1">
      <alignment horizontal="center" vertical="center"/>
    </xf>
    <xf numFmtId="38" fontId="8" fillId="48" borderId="22" xfId="300" applyNumberFormat="1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left" vertical="center" indent="1"/>
    </xf>
    <xf numFmtId="0" fontId="0" fillId="48" borderId="33" xfId="331" applyFont="1" applyFill="1" applyBorder="1" applyAlignment="1">
      <alignment horizontal="left" vertical="center" indent="1"/>
      <protection/>
    </xf>
    <xf numFmtId="0" fontId="84" fillId="48" borderId="0" xfId="0" applyFont="1" applyFill="1" applyAlignment="1">
      <alignment/>
    </xf>
    <xf numFmtId="0" fontId="85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206" fontId="0" fillId="48" borderId="0" xfId="0" applyNumberFormat="1" applyFont="1" applyFill="1" applyAlignment="1">
      <alignment/>
    </xf>
    <xf numFmtId="165" fontId="8" fillId="48" borderId="0" xfId="300" applyFont="1" applyFill="1" applyAlignment="1">
      <alignment/>
    </xf>
    <xf numFmtId="192" fontId="0" fillId="48" borderId="0" xfId="331" applyNumberFormat="1" applyFont="1" applyFill="1" applyBorder="1" applyAlignment="1">
      <alignment vertical="center"/>
      <protection/>
    </xf>
    <xf numFmtId="0" fontId="12" fillId="47" borderId="0" xfId="0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4" xfId="0" applyFont="1" applyFill="1" applyBorder="1" applyAlignment="1">
      <alignment horizontal="center" vertical="center" wrapText="1"/>
    </xf>
    <xf numFmtId="0" fontId="6" fillId="48" borderId="20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0" fontId="33" fillId="48" borderId="24" xfId="323" applyFont="1" applyFill="1" applyBorder="1" applyAlignment="1">
      <alignment horizontal="left" vertical="center" wrapText="1" indent="1"/>
      <protection/>
    </xf>
    <xf numFmtId="183" fontId="0" fillId="47" borderId="0" xfId="300" applyNumberFormat="1" applyFont="1" applyFill="1" applyAlignment="1">
      <alignment/>
    </xf>
    <xf numFmtId="210" fontId="0" fillId="47" borderId="0" xfId="300" applyNumberFormat="1" applyFont="1" applyFill="1" applyAlignment="1">
      <alignment/>
    </xf>
    <xf numFmtId="0" fontId="7" fillId="47" borderId="21" xfId="323" applyFont="1" applyFill="1" applyBorder="1">
      <alignment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11" fontId="8" fillId="47" borderId="0" xfId="323" applyNumberFormat="1" applyFont="1" applyFill="1">
      <alignment/>
      <protection/>
    </xf>
    <xf numFmtId="0" fontId="83" fillId="47" borderId="0" xfId="0" applyFont="1" applyFill="1" applyAlignment="1">
      <alignment/>
    </xf>
    <xf numFmtId="0" fontId="86" fillId="48" borderId="0" xfId="0" applyFont="1" applyFill="1" applyAlignment="1">
      <alignment/>
    </xf>
    <xf numFmtId="202" fontId="0" fillId="48" borderId="0" xfId="0" applyNumberFormat="1" applyFont="1" applyFill="1" applyAlignment="1">
      <alignment/>
    </xf>
    <xf numFmtId="204" fontId="0" fillId="48" borderId="0" xfId="0" applyNumberFormat="1" applyFont="1" applyFill="1" applyAlignment="1">
      <alignment/>
    </xf>
    <xf numFmtId="0" fontId="8" fillId="48" borderId="23" xfId="0" applyFont="1" applyFill="1" applyBorder="1" applyAlignment="1">
      <alignment horizontal="left" vertical="center" indent="2"/>
    </xf>
    <xf numFmtId="38" fontId="8" fillId="48" borderId="21" xfId="300" applyNumberFormat="1" applyFont="1" applyFill="1" applyBorder="1" applyAlignment="1">
      <alignment horizontal="center" vertical="center"/>
    </xf>
    <xf numFmtId="0" fontId="87" fillId="48" borderId="0" xfId="323" applyFont="1" applyFill="1">
      <alignment/>
      <protection/>
    </xf>
    <xf numFmtId="0" fontId="88" fillId="48" borderId="0" xfId="323" applyFont="1" applyFill="1">
      <alignment/>
      <protection/>
    </xf>
    <xf numFmtId="0" fontId="89" fillId="48" borderId="0" xfId="323" applyFont="1" applyFill="1">
      <alignment/>
      <protection/>
    </xf>
    <xf numFmtId="178" fontId="3" fillId="48" borderId="0" xfId="307" applyNumberFormat="1" applyFont="1" applyFill="1" applyBorder="1" applyAlignment="1">
      <alignment vertical="center"/>
    </xf>
    <xf numFmtId="165" fontId="0" fillId="48" borderId="0" xfId="331" applyNumberFormat="1" applyFont="1" applyFill="1" applyBorder="1" applyAlignment="1">
      <alignment vertical="center"/>
      <protection/>
    </xf>
    <xf numFmtId="187" fontId="0" fillId="48" borderId="0" xfId="331" applyNumberFormat="1" applyFont="1" applyFill="1" applyBorder="1" applyAlignment="1">
      <alignment vertical="center"/>
      <protection/>
    </xf>
    <xf numFmtId="177" fontId="0" fillId="48" borderId="0" xfId="331" applyNumberFormat="1" applyFont="1" applyFill="1" applyBorder="1" applyAlignment="1">
      <alignment vertical="center"/>
      <protection/>
    </xf>
    <xf numFmtId="208" fontId="8" fillId="47" borderId="0" xfId="323" applyNumberFormat="1" applyFont="1" applyFill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9" fontId="7" fillId="48" borderId="0" xfId="344" applyFont="1" applyFill="1" applyAlignment="1">
      <alignment/>
    </xf>
    <xf numFmtId="185" fontId="8" fillId="48" borderId="0" xfId="0" applyNumberFormat="1" applyFont="1" applyFill="1" applyAlignment="1">
      <alignment/>
    </xf>
    <xf numFmtId="165" fontId="8" fillId="48" borderId="0" xfId="0" applyNumberFormat="1" applyFont="1" applyFill="1" applyAlignment="1">
      <alignment/>
    </xf>
    <xf numFmtId="202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93" fontId="0" fillId="48" borderId="0" xfId="0" applyNumberFormat="1" applyFont="1" applyFill="1" applyBorder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83" fontId="8" fillId="48" borderId="0" xfId="0" applyNumberFormat="1" applyFont="1" applyFill="1" applyAlignment="1">
      <alignment/>
    </xf>
    <xf numFmtId="186" fontId="7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0" fontId="2" fillId="48" borderId="0" xfId="0" applyFont="1" applyFill="1" applyAlignment="1">
      <alignment horizontal="left" vertical="center"/>
    </xf>
    <xf numFmtId="9" fontId="3" fillId="48" borderId="0" xfId="350" applyNumberFormat="1" applyFont="1" applyFill="1" applyBorder="1" applyAlignment="1">
      <alignment horizontal="center" vertical="center"/>
    </xf>
    <xf numFmtId="194" fontId="8" fillId="48" borderId="0" xfId="0" applyNumberFormat="1" applyFont="1" applyFill="1" applyAlignment="1">
      <alignment/>
    </xf>
    <xf numFmtId="0" fontId="0" fillId="48" borderId="0" xfId="331" applyFont="1" applyFill="1" applyBorder="1" applyAlignment="1">
      <alignment horizontal="left" vertical="center" indent="1"/>
      <protection/>
    </xf>
    <xf numFmtId="0" fontId="90" fillId="47" borderId="0" xfId="0" applyFont="1" applyFill="1" applyAlignment="1">
      <alignment/>
    </xf>
    <xf numFmtId="0" fontId="86" fillId="47" borderId="0" xfId="0" applyFont="1" applyFill="1" applyAlignment="1">
      <alignment/>
    </xf>
    <xf numFmtId="0" fontId="84" fillId="47" borderId="0" xfId="0" applyFont="1" applyFill="1" applyAlignment="1">
      <alignment/>
    </xf>
    <xf numFmtId="186" fontId="90" fillId="47" borderId="0" xfId="0" applyNumberFormat="1" applyFont="1" applyFill="1" applyAlignment="1">
      <alignment/>
    </xf>
    <xf numFmtId="0" fontId="83" fillId="47" borderId="0" xfId="0" applyFont="1" applyFill="1" applyBorder="1" applyAlignment="1">
      <alignment/>
    </xf>
    <xf numFmtId="0" fontId="85" fillId="47" borderId="0" xfId="0" applyFont="1" applyFill="1" applyAlignment="1">
      <alignment/>
    </xf>
    <xf numFmtId="38" fontId="90" fillId="47" borderId="0" xfId="0" applyNumberFormat="1" applyFont="1" applyFill="1" applyAlignment="1">
      <alignment/>
    </xf>
    <xf numFmtId="197" fontId="90" fillId="47" borderId="0" xfId="0" applyNumberFormat="1" applyFont="1" applyFill="1" applyAlignment="1">
      <alignment/>
    </xf>
    <xf numFmtId="1" fontId="90" fillId="48" borderId="0" xfId="0" applyNumberFormat="1" applyFont="1" applyFill="1" applyAlignment="1">
      <alignment/>
    </xf>
    <xf numFmtId="198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171" fontId="0" fillId="48" borderId="0" xfId="307" applyNumberFormat="1" applyFont="1" applyFill="1" applyBorder="1" applyAlignment="1">
      <alignment horizontal="right" vertical="center"/>
    </xf>
    <xf numFmtId="184" fontId="3" fillId="48" borderId="0" xfId="0" applyNumberFormat="1" applyFont="1" applyFill="1" applyAlignment="1">
      <alignment horizontal="justify" vertical="center" wrapText="1"/>
    </xf>
    <xf numFmtId="184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92" fontId="0" fillId="48" borderId="0" xfId="0" applyNumberFormat="1" applyFont="1" applyFill="1" applyAlignment="1">
      <alignment vertical="center"/>
    </xf>
    <xf numFmtId="184" fontId="0" fillId="48" borderId="0" xfId="0" applyNumberFormat="1" applyFont="1" applyFill="1" applyAlignment="1">
      <alignment vertical="center"/>
    </xf>
    <xf numFmtId="176" fontId="0" fillId="48" borderId="0" xfId="0" applyNumberFormat="1" applyFont="1" applyFill="1" applyAlignment="1">
      <alignment vertical="center"/>
    </xf>
    <xf numFmtId="187" fontId="0" fillId="48" borderId="0" xfId="0" applyNumberFormat="1" applyFont="1" applyFill="1" applyAlignment="1">
      <alignment/>
    </xf>
    <xf numFmtId="191" fontId="0" fillId="48" borderId="0" xfId="0" applyNumberFormat="1" applyFont="1" applyFill="1" applyAlignment="1">
      <alignment/>
    </xf>
    <xf numFmtId="179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0" fillId="48" borderId="0" xfId="323" applyFont="1" applyFill="1" applyBorder="1" applyAlignment="1">
      <alignment horizontal="justify" vertical="top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40" fillId="48" borderId="0" xfId="0" applyFont="1" applyFill="1" applyAlignment="1">
      <alignment horizontal="left" vertical="center" wrapText="1"/>
    </xf>
    <xf numFmtId="0" fontId="11" fillId="48" borderId="21" xfId="0" applyFont="1" applyFill="1" applyBorder="1" applyAlignment="1">
      <alignment horizontal="center" vertical="center" wrapText="1"/>
    </xf>
    <xf numFmtId="184" fontId="3" fillId="48" borderId="0" xfId="300" applyNumberFormat="1" applyFont="1" applyFill="1" applyBorder="1" applyAlignment="1">
      <alignment vertical="center"/>
    </xf>
    <xf numFmtId="184" fontId="3" fillId="48" borderId="0" xfId="307" applyNumberFormat="1" applyFont="1" applyFill="1" applyBorder="1" applyAlignment="1">
      <alignment vertical="center"/>
    </xf>
    <xf numFmtId="175" fontId="0" fillId="48" borderId="0" xfId="331" applyNumberFormat="1" applyFont="1" applyFill="1" applyBorder="1" applyAlignment="1">
      <alignment vertical="center"/>
      <protection/>
    </xf>
    <xf numFmtId="183" fontId="0" fillId="48" borderId="0" xfId="307" applyNumberFormat="1" applyFont="1" applyFill="1" applyBorder="1" applyAlignment="1">
      <alignment vertical="center"/>
    </xf>
    <xf numFmtId="183" fontId="3" fillId="48" borderId="0" xfId="307" applyNumberFormat="1" applyFont="1" applyFill="1" applyBorder="1" applyAlignment="1">
      <alignment vertical="center"/>
    </xf>
    <xf numFmtId="187" fontId="0" fillId="48" borderId="0" xfId="323" applyNumberFormat="1" applyFont="1" applyFill="1" applyBorder="1" applyAlignment="1">
      <alignment vertical="center" wrapText="1"/>
      <protection/>
    </xf>
    <xf numFmtId="174" fontId="8" fillId="48" borderId="0" xfId="0" applyNumberFormat="1" applyFont="1" applyFill="1" applyAlignment="1">
      <alignment horizontal="right"/>
    </xf>
    <xf numFmtId="192" fontId="12" fillId="47" borderId="0" xfId="0" applyNumberFormat="1" applyFont="1" applyFill="1" applyAlignment="1">
      <alignment/>
    </xf>
    <xf numFmtId="186" fontId="12" fillId="47" borderId="0" xfId="0" applyNumberFormat="1" applyFont="1" applyFill="1" applyAlignment="1">
      <alignment/>
    </xf>
    <xf numFmtId="183" fontId="12" fillId="47" borderId="0" xfId="0" applyNumberFormat="1" applyFont="1" applyFill="1" applyBorder="1" applyAlignment="1">
      <alignment/>
    </xf>
    <xf numFmtId="189" fontId="12" fillId="47" borderId="0" xfId="0" applyNumberFormat="1" applyFont="1" applyFill="1" applyBorder="1" applyAlignment="1">
      <alignment/>
    </xf>
    <xf numFmtId="176" fontId="8" fillId="48" borderId="0" xfId="0" applyNumberFormat="1" applyFont="1" applyFill="1" applyAlignment="1">
      <alignment/>
    </xf>
    <xf numFmtId="197" fontId="7" fillId="48" borderId="0" xfId="0" applyNumberFormat="1" applyFont="1" applyFill="1" applyAlignment="1">
      <alignment/>
    </xf>
    <xf numFmtId="38" fontId="7" fillId="48" borderId="0" xfId="0" applyNumberFormat="1" applyFont="1" applyFill="1" applyAlignment="1">
      <alignment/>
    </xf>
    <xf numFmtId="212" fontId="7" fillId="48" borderId="0" xfId="0" applyNumberFormat="1" applyFont="1" applyFill="1" applyAlignment="1">
      <alignment/>
    </xf>
    <xf numFmtId="0" fontId="7" fillId="48" borderId="0" xfId="0" applyNumberFormat="1" applyFont="1" applyFill="1" applyAlignment="1">
      <alignment/>
    </xf>
    <xf numFmtId="183" fontId="0" fillId="48" borderId="0" xfId="0" applyNumberFormat="1" applyFont="1" applyFill="1" applyAlignment="1">
      <alignment/>
    </xf>
    <xf numFmtId="192" fontId="8" fillId="48" borderId="0" xfId="0" applyNumberFormat="1" applyFont="1" applyFill="1" applyAlignment="1">
      <alignment/>
    </xf>
    <xf numFmtId="200" fontId="0" fillId="48" borderId="0" xfId="0" applyNumberFormat="1" applyFont="1" applyFill="1" applyAlignment="1">
      <alignment/>
    </xf>
    <xf numFmtId="196" fontId="8" fillId="48" borderId="0" xfId="0" applyNumberFormat="1" applyFont="1" applyFill="1" applyAlignment="1">
      <alignment/>
    </xf>
    <xf numFmtId="199" fontId="8" fillId="48" borderId="0" xfId="0" applyNumberFormat="1" applyFont="1" applyFill="1" applyAlignment="1">
      <alignment/>
    </xf>
    <xf numFmtId="184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189" fontId="0" fillId="48" borderId="0" xfId="0" applyNumberFormat="1" applyFont="1" applyFill="1" applyAlignment="1">
      <alignment/>
    </xf>
    <xf numFmtId="174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vertical="center" wrapText="1"/>
      <protection/>
    </xf>
    <xf numFmtId="183" fontId="8" fillId="48" borderId="0" xfId="345" applyNumberFormat="1" applyFont="1" applyFill="1" applyAlignment="1">
      <alignment/>
    </xf>
    <xf numFmtId="0" fontId="0" fillId="48" borderId="19" xfId="323" applyFont="1" applyFill="1" applyBorder="1" applyAlignment="1">
      <alignment horizontal="left" vertical="center" indent="3"/>
      <protection/>
    </xf>
    <xf numFmtId="9" fontId="8" fillId="48" borderId="0" xfId="345" applyFont="1" applyFill="1" applyAlignment="1">
      <alignment/>
    </xf>
    <xf numFmtId="0" fontId="0" fillId="48" borderId="0" xfId="323" applyFont="1" applyFill="1" applyBorder="1">
      <alignment/>
      <protection/>
    </xf>
    <xf numFmtId="0" fontId="0" fillId="48" borderId="0" xfId="323" applyFont="1" applyFill="1" applyAlignment="1">
      <alignment vertical="top"/>
      <protection/>
    </xf>
    <xf numFmtId="0" fontId="0" fillId="48" borderId="0" xfId="323" applyFont="1" applyFill="1" applyAlignment="1">
      <alignment/>
      <protection/>
    </xf>
    <xf numFmtId="180" fontId="35" fillId="48" borderId="0" xfId="323" applyNumberFormat="1" applyFont="1" applyFill="1" applyAlignment="1">
      <alignment vertical="top"/>
      <protection/>
    </xf>
    <xf numFmtId="207" fontId="0" fillId="48" borderId="0" xfId="323" applyNumberFormat="1" applyFont="1" applyFill="1" applyAlignment="1">
      <alignment/>
      <protection/>
    </xf>
    <xf numFmtId="194" fontId="0" fillId="48" borderId="0" xfId="323" applyNumberFormat="1" applyFont="1" applyFill="1">
      <alignment/>
      <protection/>
    </xf>
    <xf numFmtId="205" fontId="0" fillId="48" borderId="0" xfId="323" applyNumberFormat="1" applyFont="1" applyFill="1">
      <alignment/>
      <protection/>
    </xf>
    <xf numFmtId="169" fontId="0" fillId="48" borderId="0" xfId="323" applyNumberFormat="1" applyFont="1" applyFill="1">
      <alignment/>
      <protection/>
    </xf>
    <xf numFmtId="179" fontId="0" fillId="48" borderId="0" xfId="323" applyNumberFormat="1" applyFont="1" applyFill="1">
      <alignment/>
      <protection/>
    </xf>
    <xf numFmtId="38" fontId="0" fillId="48" borderId="0" xfId="323" applyNumberFormat="1" applyFont="1" applyFill="1">
      <alignment/>
      <protection/>
    </xf>
    <xf numFmtId="195" fontId="0" fillId="48" borderId="0" xfId="323" applyNumberFormat="1" applyFont="1" applyFill="1">
      <alignment/>
      <protection/>
    </xf>
    <xf numFmtId="177" fontId="0" fillId="48" borderId="0" xfId="323" applyNumberFormat="1" applyFont="1" applyFill="1">
      <alignment/>
      <protection/>
    </xf>
    <xf numFmtId="202" fontId="0" fillId="48" borderId="0" xfId="323" applyNumberFormat="1" applyFont="1" applyFill="1">
      <alignment/>
      <protection/>
    </xf>
    <xf numFmtId="4" fontId="7" fillId="48" borderId="0" xfId="323" applyNumberFormat="1" applyFont="1" applyFill="1">
      <alignment/>
      <protection/>
    </xf>
    <xf numFmtId="4" fontId="8" fillId="48" borderId="0" xfId="323" applyNumberFormat="1" applyFont="1" applyFill="1">
      <alignment/>
      <protection/>
    </xf>
    <xf numFmtId="0" fontId="43" fillId="48" borderId="0" xfId="289" applyFont="1" applyFill="1" applyAlignment="1" applyProtection="1">
      <alignment vertical="center"/>
      <protection/>
    </xf>
    <xf numFmtId="174" fontId="91" fillId="48" borderId="0" xfId="0" applyNumberFormat="1" applyFont="1" applyFill="1" applyAlignment="1">
      <alignment horizontal="center" vertical="center"/>
    </xf>
    <xf numFmtId="0" fontId="4" fillId="48" borderId="0" xfId="0" applyFont="1" applyFill="1" applyAlignment="1">
      <alignment vertical="center"/>
    </xf>
    <xf numFmtId="0" fontId="92" fillId="47" borderId="0" xfId="0" applyFont="1" applyFill="1" applyAlignment="1">
      <alignment/>
    </xf>
    <xf numFmtId="0" fontId="93" fillId="47" borderId="0" xfId="0" applyFont="1" applyFill="1" applyAlignment="1">
      <alignment/>
    </xf>
    <xf numFmtId="0" fontId="94" fillId="47" borderId="0" xfId="0" applyFont="1" applyFill="1" applyAlignment="1">
      <alignment/>
    </xf>
    <xf numFmtId="0" fontId="95" fillId="47" borderId="0" xfId="0" applyFont="1" applyFill="1" applyAlignment="1">
      <alignment/>
    </xf>
    <xf numFmtId="38" fontId="92" fillId="47" borderId="0" xfId="0" applyNumberFormat="1" applyFont="1" applyFill="1" applyAlignment="1">
      <alignment/>
    </xf>
    <xf numFmtId="197" fontId="92" fillId="47" borderId="0" xfId="0" applyNumberFormat="1" applyFont="1" applyFill="1" applyAlignment="1">
      <alignment/>
    </xf>
    <xf numFmtId="1" fontId="92" fillId="48" borderId="0" xfId="0" applyNumberFormat="1" applyFont="1" applyFill="1" applyAlignment="1">
      <alignment/>
    </xf>
    <xf numFmtId="182" fontId="92" fillId="47" borderId="0" xfId="0" applyNumberFormat="1" applyFont="1" applyFill="1" applyAlignment="1">
      <alignment/>
    </xf>
    <xf numFmtId="0" fontId="92" fillId="48" borderId="0" xfId="0" applyFont="1" applyFill="1" applyAlignment="1">
      <alignment/>
    </xf>
    <xf numFmtId="208" fontId="92" fillId="47" borderId="0" xfId="0" applyNumberFormat="1" applyFont="1" applyFill="1" applyAlignment="1">
      <alignment/>
    </xf>
    <xf numFmtId="186" fontId="92" fillId="47" borderId="0" xfId="0" applyNumberFormat="1" applyFont="1" applyFill="1" applyAlignment="1">
      <alignment/>
    </xf>
    <xf numFmtId="0" fontId="96" fillId="47" borderId="0" xfId="0" applyFont="1" applyFill="1" applyAlignment="1">
      <alignment/>
    </xf>
    <xf numFmtId="0" fontId="92" fillId="47" borderId="0" xfId="0" applyFont="1" applyFill="1" applyBorder="1" applyAlignment="1">
      <alignment/>
    </xf>
    <xf numFmtId="181" fontId="92" fillId="47" borderId="0" xfId="0" applyNumberFormat="1" applyFont="1" applyFill="1" applyBorder="1" applyAlignment="1">
      <alignment/>
    </xf>
    <xf numFmtId="0" fontId="93" fillId="47" borderId="0" xfId="0" applyFont="1" applyFill="1" applyBorder="1" applyAlignment="1">
      <alignment/>
    </xf>
    <xf numFmtId="0" fontId="93" fillId="47" borderId="0" xfId="0" applyFont="1" applyFill="1" applyAlignment="1" applyProtection="1">
      <alignment/>
      <protection/>
    </xf>
    <xf numFmtId="0" fontId="93" fillId="48" borderId="0" xfId="0" applyFont="1" applyFill="1" applyAlignment="1" applyProtection="1">
      <alignment/>
      <protection/>
    </xf>
    <xf numFmtId="179" fontId="93" fillId="48" borderId="0" xfId="0" applyNumberFormat="1" applyFont="1" applyFill="1" applyAlignment="1">
      <alignment/>
    </xf>
    <xf numFmtId="201" fontId="93" fillId="48" borderId="0" xfId="0" applyNumberFormat="1" applyFont="1" applyFill="1" applyAlignment="1">
      <alignment/>
    </xf>
    <xf numFmtId="209" fontId="93" fillId="47" borderId="0" xfId="0" applyNumberFormat="1" applyFont="1" applyFill="1" applyAlignment="1">
      <alignment/>
    </xf>
    <xf numFmtId="180" fontId="93" fillId="48" borderId="0" xfId="0" applyNumberFormat="1" applyFont="1" applyFill="1" applyAlignment="1">
      <alignment/>
    </xf>
    <xf numFmtId="204" fontId="93" fillId="48" borderId="0" xfId="0" applyNumberFormat="1" applyFont="1" applyFill="1" applyAlignment="1">
      <alignment/>
    </xf>
    <xf numFmtId="0" fontId="93" fillId="48" borderId="0" xfId="0" applyFont="1" applyFill="1" applyAlignment="1">
      <alignment/>
    </xf>
    <xf numFmtId="0" fontId="6" fillId="48" borderId="0" xfId="0" applyFont="1" applyFill="1" applyAlignment="1">
      <alignment vertical="center"/>
    </xf>
    <xf numFmtId="0" fontId="8" fillId="48" borderId="22" xfId="0" applyFont="1" applyFill="1" applyBorder="1" applyAlignment="1">
      <alignment horizontal="left" vertical="center" indent="3"/>
    </xf>
    <xf numFmtId="0" fontId="11" fillId="48" borderId="22" xfId="0" applyFont="1" applyFill="1" applyBorder="1" applyAlignment="1">
      <alignment horizontal="left" vertical="center" indent="4"/>
    </xf>
    <xf numFmtId="0" fontId="8" fillId="48" borderId="22" xfId="0" applyFont="1" applyFill="1" applyBorder="1" applyAlignment="1">
      <alignment horizontal="left" vertical="center" indent="4"/>
    </xf>
    <xf numFmtId="0" fontId="5" fillId="48" borderId="22" xfId="0" applyFont="1" applyFill="1" applyBorder="1" applyAlignment="1">
      <alignment horizontal="left" vertical="center" indent="4"/>
    </xf>
    <xf numFmtId="4" fontId="93" fillId="47" borderId="0" xfId="0" applyNumberFormat="1" applyFont="1" applyFill="1" applyAlignment="1">
      <alignment/>
    </xf>
    <xf numFmtId="4" fontId="97" fillId="47" borderId="0" xfId="0" applyNumberFormat="1" applyFont="1" applyFill="1" applyAlignment="1">
      <alignment/>
    </xf>
    <xf numFmtId="4" fontId="0" fillId="48" borderId="0" xfId="0" applyNumberFormat="1" applyFont="1" applyFill="1" applyAlignment="1">
      <alignment/>
    </xf>
    <xf numFmtId="0" fontId="11" fillId="48" borderId="22" xfId="0" applyFont="1" applyFill="1" applyBorder="1" applyAlignment="1">
      <alignment horizontal="left" vertical="center" indent="1"/>
    </xf>
    <xf numFmtId="0" fontId="11" fillId="48" borderId="22" xfId="0" applyFont="1" applyFill="1" applyBorder="1" applyAlignment="1">
      <alignment horizontal="left" vertical="center" indent="2"/>
    </xf>
    <xf numFmtId="0" fontId="0" fillId="0" borderId="0" xfId="0" applyNumberFormat="1" applyAlignment="1">
      <alignment/>
    </xf>
    <xf numFmtId="0" fontId="12" fillId="48" borderId="0" xfId="0" applyFont="1" applyFill="1" applyAlignment="1">
      <alignment/>
    </xf>
    <xf numFmtId="0" fontId="94" fillId="48" borderId="0" xfId="0" applyFont="1" applyFill="1" applyAlignment="1">
      <alignment/>
    </xf>
    <xf numFmtId="4" fontId="97" fillId="48" borderId="0" xfId="0" applyNumberFormat="1" applyFont="1" applyFill="1" applyAlignment="1">
      <alignment/>
    </xf>
    <xf numFmtId="206" fontId="78" fillId="48" borderId="0" xfId="0" applyNumberFormat="1" applyFont="1" applyFill="1" applyAlignment="1">
      <alignment/>
    </xf>
    <xf numFmtId="206" fontId="0" fillId="48" borderId="0" xfId="0" applyNumberFormat="1" applyFill="1" applyAlignment="1">
      <alignment/>
    </xf>
    <xf numFmtId="0" fontId="95" fillId="48" borderId="0" xfId="0" applyFont="1" applyFill="1" applyAlignment="1">
      <alignment/>
    </xf>
    <xf numFmtId="206" fontId="95" fillId="48" borderId="0" xfId="0" applyNumberFormat="1" applyFont="1" applyFill="1" applyAlignment="1">
      <alignment/>
    </xf>
    <xf numFmtId="0" fontId="82" fillId="0" borderId="0" xfId="0" applyNumberFormat="1" applyFont="1" applyAlignment="1">
      <alignment/>
    </xf>
    <xf numFmtId="0" fontId="11" fillId="48" borderId="19" xfId="0" applyFont="1" applyFill="1" applyBorder="1" applyAlignment="1">
      <alignment horizontal="left" vertical="center" indent="1"/>
    </xf>
    <xf numFmtId="0" fontId="40" fillId="48" borderId="0" xfId="0" applyFont="1" applyFill="1" applyAlignment="1">
      <alignment vertical="center"/>
    </xf>
    <xf numFmtId="0" fontId="11" fillId="48" borderId="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40" fillId="48" borderId="0" xfId="0" applyFont="1" applyFill="1" applyBorder="1" applyAlignment="1">
      <alignment vertical="center"/>
    </xf>
    <xf numFmtId="0" fontId="6" fillId="48" borderId="0" xfId="0" applyFont="1" applyFill="1" applyBorder="1" applyAlignment="1">
      <alignment vertical="center"/>
    </xf>
    <xf numFmtId="0" fontId="11" fillId="48" borderId="19" xfId="0" applyFont="1" applyFill="1" applyBorder="1" applyAlignment="1">
      <alignment horizontal="left" vertical="center"/>
    </xf>
    <xf numFmtId="206" fontId="93" fillId="48" borderId="0" xfId="0" applyNumberFormat="1" applyFont="1" applyFill="1" applyAlignment="1">
      <alignment/>
    </xf>
    <xf numFmtId="0" fontId="10" fillId="48" borderId="0" xfId="323" applyFont="1" applyFill="1" applyAlignment="1">
      <alignment vertical="center"/>
      <protection/>
    </xf>
    <xf numFmtId="0" fontId="4" fillId="48" borderId="0" xfId="323" applyFont="1" applyFill="1" applyAlignment="1">
      <alignment vertical="center"/>
      <protection/>
    </xf>
    <xf numFmtId="0" fontId="11" fillId="48" borderId="0" xfId="323" applyFont="1" applyFill="1" applyAlignment="1">
      <alignment vertical="center"/>
      <protection/>
    </xf>
    <xf numFmtId="0" fontId="5" fillId="48" borderId="0" xfId="323" applyFont="1" applyFill="1" applyBorder="1" applyAlignment="1">
      <alignment vertical="center"/>
      <protection/>
    </xf>
    <xf numFmtId="174" fontId="98" fillId="48" borderId="0" xfId="323" applyNumberFormat="1" applyFont="1" applyFill="1" applyAlignment="1">
      <alignment horizontal="center" vertical="center"/>
      <protection/>
    </xf>
    <xf numFmtId="0" fontId="6" fillId="48" borderId="0" xfId="323" applyFont="1" applyFill="1" applyAlignment="1">
      <alignment vertical="center"/>
      <protection/>
    </xf>
    <xf numFmtId="0" fontId="8" fillId="48" borderId="19" xfId="0" applyFont="1" applyFill="1" applyBorder="1" applyAlignment="1">
      <alignment horizontal="left" vertical="center" indent="3"/>
    </xf>
    <xf numFmtId="3" fontId="11" fillId="48" borderId="22" xfId="300" applyNumberFormat="1" applyFont="1" applyFill="1" applyBorder="1" applyAlignment="1">
      <alignment horizontal="right" vertical="center" indent="1"/>
    </xf>
    <xf numFmtId="3" fontId="8" fillId="48" borderId="22" xfId="300" applyNumberFormat="1" applyFont="1" applyFill="1" applyBorder="1" applyAlignment="1">
      <alignment horizontal="right" vertical="center" indent="1"/>
    </xf>
    <xf numFmtId="3" fontId="6" fillId="48" borderId="22" xfId="300" applyNumberFormat="1" applyFont="1" applyFill="1" applyBorder="1" applyAlignment="1">
      <alignment horizontal="right" vertical="center" indent="1"/>
    </xf>
    <xf numFmtId="3" fontId="0" fillId="48" borderId="22" xfId="300" applyNumberFormat="1" applyFont="1" applyFill="1" applyBorder="1" applyAlignment="1">
      <alignment horizontal="right" vertical="center" indent="1"/>
    </xf>
    <xf numFmtId="3" fontId="82" fillId="0" borderId="0" xfId="0" applyNumberFormat="1" applyFont="1" applyAlignment="1">
      <alignment/>
    </xf>
    <xf numFmtId="3" fontId="8" fillId="48" borderId="0" xfId="323" applyNumberFormat="1" applyFont="1" applyFill="1">
      <alignment/>
      <protection/>
    </xf>
    <xf numFmtId="214" fontId="8" fillId="48" borderId="0" xfId="323" applyNumberFormat="1" applyFont="1" applyFill="1">
      <alignment/>
      <protection/>
    </xf>
    <xf numFmtId="0" fontId="0" fillId="48" borderId="19" xfId="0" applyFont="1" applyFill="1" applyBorder="1" applyAlignment="1">
      <alignment horizontal="left" vertical="center" indent="3"/>
    </xf>
    <xf numFmtId="3" fontId="33" fillId="48" borderId="22" xfId="300" applyNumberFormat="1" applyFont="1" applyFill="1" applyBorder="1" applyAlignment="1">
      <alignment horizontal="right" vertical="center" indent="1"/>
    </xf>
    <xf numFmtId="204" fontId="35" fillId="48" borderId="0" xfId="323" applyNumberFormat="1" applyFont="1" applyFill="1" applyAlignment="1">
      <alignment vertical="top"/>
      <protection/>
    </xf>
    <xf numFmtId="213" fontId="35" fillId="48" borderId="0" xfId="323" applyNumberFormat="1" applyFont="1" applyFill="1" applyAlignment="1">
      <alignment vertical="top"/>
      <protection/>
    </xf>
    <xf numFmtId="3" fontId="0" fillId="48" borderId="22" xfId="300" applyNumberFormat="1" applyFont="1" applyFill="1" applyBorder="1" applyAlignment="1">
      <alignment horizontal="right" vertical="center" indent="2"/>
    </xf>
    <xf numFmtId="0" fontId="0" fillId="48" borderId="22" xfId="0" applyFont="1" applyFill="1" applyBorder="1" applyAlignment="1">
      <alignment horizontal="left" vertical="center" indent="3"/>
    </xf>
    <xf numFmtId="0" fontId="6" fillId="48" borderId="35" xfId="0" applyFont="1" applyFill="1" applyBorder="1" applyAlignment="1">
      <alignment horizontal="left" vertical="center" indent="10"/>
    </xf>
    <xf numFmtId="0" fontId="6" fillId="48" borderId="36" xfId="0" applyFont="1" applyFill="1" applyBorder="1" applyAlignment="1">
      <alignment horizontal="left" vertical="center" indent="5"/>
    </xf>
    <xf numFmtId="216" fontId="11" fillId="48" borderId="22" xfId="300" applyNumberFormat="1" applyFont="1" applyFill="1" applyBorder="1" applyAlignment="1">
      <alignment horizontal="right" vertical="center" indent="2"/>
    </xf>
    <xf numFmtId="216" fontId="5" fillId="48" borderId="22" xfId="300" applyNumberFormat="1" applyFont="1" applyFill="1" applyBorder="1" applyAlignment="1">
      <alignment horizontal="right" vertical="center" indent="2"/>
    </xf>
    <xf numFmtId="216" fontId="8" fillId="48" borderId="23" xfId="300" applyNumberFormat="1" applyFont="1" applyFill="1" applyBorder="1" applyAlignment="1">
      <alignment horizontal="right" vertical="center" indent="2"/>
    </xf>
    <xf numFmtId="0" fontId="6" fillId="47" borderId="20" xfId="323" applyFont="1" applyFill="1" applyBorder="1" applyAlignment="1">
      <alignment horizontal="right" vertical="center" wrapText="1" indent="1"/>
      <protection/>
    </xf>
    <xf numFmtId="37" fontId="33" fillId="47" borderId="19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7" fillId="47" borderId="37" xfId="323" applyFont="1" applyFill="1" applyBorder="1">
      <alignment/>
      <protection/>
    </xf>
    <xf numFmtId="0" fontId="7" fillId="47" borderId="38" xfId="323" applyFont="1" applyFill="1" applyBorder="1">
      <alignment/>
      <protection/>
    </xf>
    <xf numFmtId="37" fontId="33" fillId="47" borderId="39" xfId="300" applyNumberFormat="1" applyFont="1" applyFill="1" applyBorder="1" applyAlignment="1">
      <alignment horizontal="right" vertical="center" wrapText="1" indent="1"/>
    </xf>
    <xf numFmtId="37" fontId="8" fillId="47" borderId="40" xfId="300" applyNumberFormat="1" applyFont="1" applyFill="1" applyBorder="1" applyAlignment="1">
      <alignment horizontal="right" vertical="center" wrapText="1" indent="1"/>
    </xf>
    <xf numFmtId="0" fontId="99" fillId="48" borderId="0" xfId="289" applyFont="1" applyFill="1" applyAlignment="1" applyProtection="1">
      <alignment vertical="center"/>
      <protection/>
    </xf>
    <xf numFmtId="0" fontId="5" fillId="48" borderId="0" xfId="0" applyFont="1" applyFill="1" applyBorder="1" applyAlignment="1">
      <alignment horizontal="left" vertical="center"/>
    </xf>
    <xf numFmtId="0" fontId="44" fillId="48" borderId="0" xfId="331" applyFont="1" applyFill="1" applyBorder="1" applyAlignment="1">
      <alignment horizontal="right" vertical="center"/>
      <protection/>
    </xf>
    <xf numFmtId="198" fontId="0" fillId="48" borderId="0" xfId="307" applyNumberFormat="1" applyFont="1" applyFill="1" applyBorder="1" applyAlignment="1">
      <alignment vertical="center"/>
    </xf>
    <xf numFmtId="198" fontId="3" fillId="48" borderId="33" xfId="307" applyNumberFormat="1" applyFont="1" applyFill="1" applyBorder="1" applyAlignment="1">
      <alignment vertical="center"/>
    </xf>
    <xf numFmtId="173" fontId="44" fillId="48" borderId="41" xfId="331" applyNumberFormat="1" applyFont="1" applyFill="1" applyBorder="1" applyAlignment="1">
      <alignment horizontal="right" vertical="center" indent="2"/>
      <protection/>
    </xf>
    <xf numFmtId="173" fontId="0" fillId="48" borderId="41" xfId="350" applyNumberFormat="1" applyFont="1" applyFill="1" applyBorder="1" applyAlignment="1">
      <alignment horizontal="right" vertical="center" indent="1"/>
    </xf>
    <xf numFmtId="173" fontId="3" fillId="48" borderId="42" xfId="350" applyNumberFormat="1" applyFont="1" applyFill="1" applyBorder="1" applyAlignment="1">
      <alignment horizontal="right" vertical="center" indent="1"/>
    </xf>
    <xf numFmtId="0" fontId="44" fillId="48" borderId="0" xfId="331" applyFont="1" applyFill="1" applyBorder="1" applyAlignment="1">
      <alignment horizontal="left" vertical="center" indent="3"/>
      <protection/>
    </xf>
    <xf numFmtId="0" fontId="44" fillId="48" borderId="0" xfId="331" applyFont="1" applyFill="1" applyBorder="1" applyAlignment="1">
      <alignment horizontal="left" vertical="center" indent="6"/>
      <protection/>
    </xf>
    <xf numFmtId="0" fontId="44" fillId="48" borderId="41" xfId="331" applyFont="1" applyFill="1" applyBorder="1" applyAlignment="1">
      <alignment horizontal="right" vertical="center" indent="2"/>
      <protection/>
    </xf>
    <xf numFmtId="0" fontId="3" fillId="48" borderId="41" xfId="331" applyFont="1" applyFill="1" applyBorder="1" applyAlignment="1">
      <alignment horizontal="right" vertical="center" indent="2"/>
      <protection/>
    </xf>
    <xf numFmtId="0" fontId="4" fillId="48" borderId="0" xfId="323" applyFont="1" applyFill="1" applyAlignment="1">
      <alignment horizontal="left" vertical="center"/>
      <protection/>
    </xf>
    <xf numFmtId="0" fontId="8" fillId="48" borderId="0" xfId="0" applyFont="1" applyFill="1" applyBorder="1" applyAlignment="1">
      <alignment horizontal="left" vertical="center" indent="1"/>
    </xf>
    <xf numFmtId="193" fontId="0" fillId="48" borderId="0" xfId="300" applyNumberFormat="1" applyFont="1" applyFill="1" applyBorder="1" applyAlignment="1">
      <alignment/>
    </xf>
    <xf numFmtId="215" fontId="0" fillId="48" borderId="0" xfId="0" applyNumberFormat="1" applyFont="1" applyFill="1" applyBorder="1" applyAlignment="1">
      <alignment/>
    </xf>
    <xf numFmtId="179" fontId="0" fillId="48" borderId="0" xfId="0" applyNumberFormat="1" applyFont="1" applyFill="1" applyBorder="1" applyAlignment="1">
      <alignment/>
    </xf>
    <xf numFmtId="190" fontId="0" fillId="48" borderId="0" xfId="0" applyNumberFormat="1" applyFont="1" applyFill="1" applyBorder="1" applyAlignment="1">
      <alignment/>
    </xf>
    <xf numFmtId="216" fontId="0" fillId="48" borderId="22" xfId="300" applyNumberFormat="1" applyFont="1" applyFill="1" applyBorder="1" applyAlignment="1">
      <alignment horizontal="right" vertical="center" indent="2"/>
    </xf>
    <xf numFmtId="0" fontId="6" fillId="47" borderId="43" xfId="323" applyFont="1" applyFill="1" applyBorder="1" applyAlignment="1">
      <alignment horizontal="center" vertical="center"/>
      <protection/>
    </xf>
    <xf numFmtId="0" fontId="7" fillId="47" borderId="25" xfId="323" applyFont="1" applyFill="1" applyBorder="1">
      <alignment/>
      <protection/>
    </xf>
    <xf numFmtId="37" fontId="33" fillId="47" borderId="0" xfId="300" applyNumberFormat="1" applyFont="1" applyFill="1" applyBorder="1" applyAlignment="1">
      <alignment horizontal="right" vertical="center" wrapText="1" indent="1"/>
    </xf>
    <xf numFmtId="37" fontId="8" fillId="47" borderId="43" xfId="300" applyNumberFormat="1" applyFont="1" applyFill="1" applyBorder="1" applyAlignment="1">
      <alignment horizontal="right" vertical="center" wrapText="1" indent="1"/>
    </xf>
    <xf numFmtId="0" fontId="6" fillId="48" borderId="2" xfId="323" applyFont="1" applyFill="1" applyBorder="1" applyAlignment="1">
      <alignment horizontal="center" vertical="center"/>
      <protection/>
    </xf>
    <xf numFmtId="0" fontId="6" fillId="48" borderId="43" xfId="323" applyFont="1" applyFill="1" applyBorder="1" applyAlignment="1">
      <alignment horizontal="center" vertical="center"/>
      <protection/>
    </xf>
    <xf numFmtId="215" fontId="93" fillId="48" borderId="0" xfId="0" applyNumberFormat="1" applyFont="1" applyFill="1" applyAlignment="1">
      <alignment/>
    </xf>
    <xf numFmtId="215" fontId="0" fillId="48" borderId="0" xfId="0" applyNumberFormat="1" applyFont="1" applyFill="1" applyAlignment="1">
      <alignment/>
    </xf>
    <xf numFmtId="215" fontId="0" fillId="48" borderId="0" xfId="308" applyNumberFormat="1" applyFont="1" applyFill="1" applyAlignment="1">
      <alignment/>
    </xf>
    <xf numFmtId="38" fontId="93" fillId="47" borderId="0" xfId="0" applyNumberFormat="1" applyFont="1" applyFill="1" applyAlignment="1">
      <alignment/>
    </xf>
    <xf numFmtId="0" fontId="6" fillId="48" borderId="28" xfId="323" applyFont="1" applyFill="1" applyBorder="1" applyAlignment="1">
      <alignment horizontal="center" vertical="center"/>
      <protection/>
    </xf>
    <xf numFmtId="0" fontId="7" fillId="47" borderId="20" xfId="323" applyFont="1" applyFill="1" applyBorder="1">
      <alignment/>
      <protection/>
    </xf>
    <xf numFmtId="0" fontId="6" fillId="48" borderId="44" xfId="323" applyFont="1" applyFill="1" applyBorder="1" applyAlignment="1">
      <alignment horizontal="center" vertical="center"/>
      <protection/>
    </xf>
    <xf numFmtId="0" fontId="7" fillId="47" borderId="45" xfId="323" applyFont="1" applyFill="1" applyBorder="1">
      <alignment/>
      <protection/>
    </xf>
    <xf numFmtId="37" fontId="33" fillId="47" borderId="46" xfId="300" applyNumberFormat="1" applyFont="1" applyFill="1" applyBorder="1" applyAlignment="1">
      <alignment horizontal="right" vertical="center" wrapText="1" indent="1"/>
    </xf>
    <xf numFmtId="37" fontId="8" fillId="47" borderId="44" xfId="300" applyNumberFormat="1" applyFont="1" applyFill="1" applyBorder="1" applyAlignment="1">
      <alignment horizontal="right" vertical="center" wrapText="1" indent="1"/>
    </xf>
    <xf numFmtId="4" fontId="93" fillId="47" borderId="0" xfId="0" applyNumberFormat="1" applyFont="1" applyFill="1" applyBorder="1" applyAlignment="1">
      <alignment/>
    </xf>
    <xf numFmtId="0" fontId="8" fillId="48" borderId="0" xfId="0" applyFont="1" applyFill="1" applyBorder="1" applyAlignment="1">
      <alignment/>
    </xf>
    <xf numFmtId="214" fontId="8" fillId="48" borderId="0" xfId="323" applyNumberFormat="1" applyFont="1" applyFill="1" applyBorder="1">
      <alignment/>
      <protection/>
    </xf>
    <xf numFmtId="0" fontId="8" fillId="48" borderId="0" xfId="323" applyFont="1" applyFill="1" applyBorder="1">
      <alignment/>
      <protection/>
    </xf>
    <xf numFmtId="3" fontId="8" fillId="48" borderId="0" xfId="0" applyNumberFormat="1" applyFont="1" applyFill="1" applyAlignment="1">
      <alignment/>
    </xf>
    <xf numFmtId="0" fontId="6" fillId="48" borderId="47" xfId="323" applyFont="1" applyFill="1" applyBorder="1" applyAlignment="1">
      <alignment horizontal="center" vertical="center"/>
      <protection/>
    </xf>
    <xf numFmtId="0" fontId="7" fillId="47" borderId="48" xfId="323" applyFont="1" applyFill="1" applyBorder="1">
      <alignment/>
      <protection/>
    </xf>
    <xf numFmtId="37" fontId="8" fillId="47" borderId="47" xfId="300" applyNumberFormat="1" applyFont="1" applyFill="1" applyBorder="1" applyAlignment="1">
      <alignment horizontal="right" vertical="center" wrapText="1" indent="1"/>
    </xf>
    <xf numFmtId="0" fontId="6" fillId="48" borderId="49" xfId="323" applyFont="1" applyFill="1" applyBorder="1" applyAlignment="1">
      <alignment horizontal="center" vertical="center"/>
      <protection/>
    </xf>
    <xf numFmtId="0" fontId="0" fillId="48" borderId="0" xfId="323" applyFont="1" applyFill="1" applyBorder="1" applyAlignment="1">
      <alignment vertical="top"/>
      <protection/>
    </xf>
    <xf numFmtId="215" fontId="0" fillId="48" borderId="0" xfId="300" applyNumberFormat="1" applyFont="1" applyFill="1" applyBorder="1" applyAlignment="1">
      <alignment/>
    </xf>
    <xf numFmtId="3" fontId="5" fillId="48" borderId="0" xfId="344" applyNumberFormat="1" applyFont="1" applyFill="1" applyAlignment="1">
      <alignment/>
    </xf>
    <xf numFmtId="3" fontId="8" fillId="48" borderId="0" xfId="344" applyNumberFormat="1" applyFont="1" applyFill="1" applyAlignment="1">
      <alignment/>
    </xf>
    <xf numFmtId="38" fontId="8" fillId="48" borderId="0" xfId="323" applyNumberFormat="1" applyFont="1" applyFill="1" applyAlignment="1">
      <alignment horizontal="right"/>
      <protection/>
    </xf>
    <xf numFmtId="217" fontId="0" fillId="48" borderId="0" xfId="0" applyNumberFormat="1" applyFont="1" applyFill="1" applyAlignment="1">
      <alignment vertical="center"/>
    </xf>
    <xf numFmtId="215" fontId="78" fillId="48" borderId="0" xfId="0" applyNumberFormat="1" applyFont="1" applyFill="1" applyAlignment="1">
      <alignment/>
    </xf>
    <xf numFmtId="37" fontId="7" fillId="47" borderId="0" xfId="323" applyNumberFormat="1" applyFont="1" applyFill="1">
      <alignment/>
      <protection/>
    </xf>
    <xf numFmtId="215" fontId="97" fillId="47" borderId="0" xfId="0" applyNumberFormat="1" applyFont="1" applyFill="1" applyAlignment="1">
      <alignment/>
    </xf>
    <xf numFmtId="38" fontId="6" fillId="48" borderId="22" xfId="300" applyNumberFormat="1" applyFont="1" applyFill="1" applyBorder="1" applyAlignment="1">
      <alignment horizontal="right" vertical="center" indent="1"/>
    </xf>
    <xf numFmtId="38" fontId="33" fillId="48" borderId="22" xfId="300" applyNumberFormat="1" applyFont="1" applyFill="1" applyBorder="1" applyAlignment="1">
      <alignment horizontal="right" vertical="center" indent="1"/>
    </xf>
    <xf numFmtId="38" fontId="6" fillId="48" borderId="19" xfId="300" applyNumberFormat="1" applyFont="1" applyFill="1" applyBorder="1" applyAlignment="1">
      <alignment horizontal="right" vertical="center" indent="1"/>
    </xf>
    <xf numFmtId="38" fontId="33" fillId="48" borderId="19" xfId="300" applyNumberFormat="1" applyFont="1" applyFill="1" applyBorder="1" applyAlignment="1">
      <alignment horizontal="right" vertical="center" indent="1"/>
    </xf>
    <xf numFmtId="3" fontId="6" fillId="48" borderId="27" xfId="300" applyNumberFormat="1" applyFont="1" applyFill="1" applyBorder="1" applyAlignment="1">
      <alignment horizontal="right" vertical="center" indent="1"/>
    </xf>
    <xf numFmtId="3" fontId="33" fillId="48" borderId="27" xfId="300" applyNumberFormat="1" applyFont="1" applyFill="1" applyBorder="1" applyAlignment="1">
      <alignment horizontal="right" vertical="center" indent="1"/>
    </xf>
    <xf numFmtId="3" fontId="8" fillId="48" borderId="27" xfId="300" applyNumberFormat="1" applyFont="1" applyFill="1" applyBorder="1" applyAlignment="1">
      <alignment horizontal="right" vertical="center" indent="1"/>
    </xf>
    <xf numFmtId="3" fontId="11" fillId="48" borderId="27" xfId="300" applyNumberFormat="1" applyFont="1" applyFill="1" applyBorder="1" applyAlignment="1">
      <alignment horizontal="right" vertical="center" indent="1"/>
    </xf>
    <xf numFmtId="3" fontId="5" fillId="48" borderId="22" xfId="300" applyNumberFormat="1" applyFont="1" applyFill="1" applyBorder="1" applyAlignment="1">
      <alignment horizontal="right" vertical="center" indent="1"/>
    </xf>
    <xf numFmtId="3" fontId="8" fillId="48" borderId="23" xfId="300" applyNumberFormat="1" applyFont="1" applyFill="1" applyBorder="1" applyAlignment="1">
      <alignment horizontal="right" vertical="center" indent="1"/>
    </xf>
    <xf numFmtId="3" fontId="8" fillId="48" borderId="43" xfId="300" applyNumberFormat="1" applyFont="1" applyFill="1" applyBorder="1" applyAlignment="1">
      <alignment horizontal="right" vertical="center" indent="1"/>
    </xf>
    <xf numFmtId="0" fontId="6" fillId="47" borderId="44" xfId="323" applyFont="1" applyFill="1" applyBorder="1" applyAlignment="1">
      <alignment horizontal="center" vertical="center"/>
      <protection/>
    </xf>
    <xf numFmtId="0" fontId="6" fillId="48" borderId="50" xfId="323" applyFont="1" applyFill="1" applyBorder="1" applyAlignment="1">
      <alignment horizontal="center" vertical="center"/>
      <protection/>
    </xf>
    <xf numFmtId="0" fontId="7" fillId="47" borderId="51" xfId="323" applyFont="1" applyFill="1" applyBorder="1">
      <alignment/>
      <protection/>
    </xf>
    <xf numFmtId="37" fontId="33" fillId="47" borderId="52" xfId="300" applyNumberFormat="1" applyFont="1" applyFill="1" applyBorder="1" applyAlignment="1">
      <alignment horizontal="right" vertical="center" wrapText="1" indent="1"/>
    </xf>
    <xf numFmtId="37" fontId="8" fillId="47" borderId="53" xfId="300" applyNumberFormat="1" applyFont="1" applyFill="1" applyBorder="1" applyAlignment="1">
      <alignment horizontal="right" vertical="center" wrapText="1" indent="1"/>
    </xf>
    <xf numFmtId="37" fontId="33" fillId="48" borderId="0" xfId="300" applyNumberFormat="1" applyFont="1" applyFill="1" applyBorder="1" applyAlignment="1">
      <alignment horizontal="right" vertical="center" wrapText="1" indent="1"/>
    </xf>
    <xf numFmtId="37" fontId="8" fillId="48" borderId="43" xfId="300" applyNumberFormat="1" applyFont="1" applyFill="1" applyBorder="1" applyAlignment="1">
      <alignment horizontal="right" vertical="center" wrapText="1" indent="1"/>
    </xf>
    <xf numFmtId="37" fontId="33" fillId="48" borderId="22" xfId="300" applyNumberFormat="1" applyFont="1" applyFill="1" applyBorder="1" applyAlignment="1">
      <alignment horizontal="right" vertical="center" wrapText="1" indent="1"/>
    </xf>
    <xf numFmtId="37" fontId="8" fillId="48" borderId="23" xfId="300" applyNumberFormat="1" applyFont="1" applyFill="1" applyBorder="1" applyAlignment="1">
      <alignment horizontal="right" vertical="center" wrapText="1" indent="1"/>
    </xf>
    <xf numFmtId="173" fontId="0" fillId="48" borderId="41" xfId="350" applyNumberFormat="1" applyFont="1" applyFill="1" applyBorder="1" applyAlignment="1">
      <alignment horizontal="left" vertical="center" indent="2"/>
    </xf>
    <xf numFmtId="173" fontId="3" fillId="48" borderId="42" xfId="350" applyNumberFormat="1" applyFont="1" applyFill="1" applyBorder="1" applyAlignment="1">
      <alignment horizontal="left" vertical="center" indent="2"/>
    </xf>
    <xf numFmtId="0" fontId="3" fillId="48" borderId="41" xfId="331" applyFont="1" applyFill="1" applyBorder="1" applyAlignment="1">
      <alignment horizontal="center" vertical="center"/>
      <protection/>
    </xf>
    <xf numFmtId="0" fontId="6" fillId="48" borderId="40" xfId="323" applyFont="1" applyFill="1" applyBorder="1" applyAlignment="1">
      <alignment horizontal="center" vertical="center"/>
      <protection/>
    </xf>
    <xf numFmtId="0" fontId="7" fillId="47" borderId="54" xfId="323" applyFont="1" applyFill="1" applyBorder="1">
      <alignment/>
      <protection/>
    </xf>
    <xf numFmtId="0" fontId="8" fillId="47" borderId="54" xfId="323" applyFont="1" applyFill="1" applyBorder="1">
      <alignment/>
      <protection/>
    </xf>
    <xf numFmtId="215" fontId="97" fillId="48" borderId="0" xfId="0" applyNumberFormat="1" applyFont="1" applyFill="1" applyAlignment="1">
      <alignment/>
    </xf>
    <xf numFmtId="208" fontId="3" fillId="48" borderId="0" xfId="300" applyNumberFormat="1" applyFont="1" applyFill="1" applyBorder="1" applyAlignment="1">
      <alignment vertical="center"/>
    </xf>
    <xf numFmtId="206" fontId="93" fillId="47" borderId="0" xfId="0" applyNumberFormat="1" applyFont="1" applyFill="1" applyBorder="1" applyAlignment="1">
      <alignment/>
    </xf>
    <xf numFmtId="219" fontId="93" fillId="48" borderId="0" xfId="0" applyNumberFormat="1" applyFont="1" applyFill="1" applyAlignment="1">
      <alignment/>
    </xf>
    <xf numFmtId="0" fontId="6" fillId="48" borderId="22" xfId="0" applyFont="1" applyFill="1" applyBorder="1" applyAlignment="1">
      <alignment horizontal="center" vertical="center"/>
    </xf>
    <xf numFmtId="218" fontId="8" fillId="47" borderId="0" xfId="323" applyNumberFormat="1" applyFont="1" applyFill="1">
      <alignment/>
      <protection/>
    </xf>
    <xf numFmtId="0" fontId="5" fillId="48" borderId="0" xfId="323" applyFont="1" applyFill="1" applyAlignment="1">
      <alignment horizontal="center" vertical="center" wrapText="1"/>
      <protection/>
    </xf>
    <xf numFmtId="37" fontId="8" fillId="47" borderId="0" xfId="323" applyNumberFormat="1" applyFont="1" applyFill="1">
      <alignment/>
      <protection/>
    </xf>
    <xf numFmtId="0" fontId="11" fillId="48" borderId="55" xfId="0" applyFont="1" applyFill="1" applyBorder="1" applyAlignment="1">
      <alignment horizontal="center" vertical="center" wrapText="1"/>
    </xf>
    <xf numFmtId="3" fontId="11" fillId="48" borderId="55" xfId="300" applyNumberFormat="1" applyFont="1" applyFill="1" applyBorder="1" applyAlignment="1">
      <alignment horizontal="right" vertical="center" indent="1"/>
    </xf>
    <xf numFmtId="3" fontId="8" fillId="48" borderId="55" xfId="300" applyNumberFormat="1" applyFont="1" applyFill="1" applyBorder="1" applyAlignment="1">
      <alignment horizontal="right" vertical="center" indent="1"/>
    </xf>
    <xf numFmtId="3" fontId="33" fillId="48" borderId="55" xfId="300" applyNumberFormat="1" applyFont="1" applyFill="1" applyBorder="1" applyAlignment="1">
      <alignment horizontal="right" vertical="center" indent="1"/>
    </xf>
    <xf numFmtId="38" fontId="8" fillId="48" borderId="0" xfId="0" applyNumberFormat="1" applyFont="1" applyFill="1" applyAlignment="1">
      <alignment/>
    </xf>
    <xf numFmtId="220" fontId="97" fillId="47" borderId="0" xfId="0" applyNumberFormat="1" applyFont="1" applyFill="1" applyAlignment="1">
      <alignment/>
    </xf>
    <xf numFmtId="201" fontId="0" fillId="48" borderId="0" xfId="0" applyNumberFormat="1" applyFont="1" applyFill="1" applyAlignment="1">
      <alignment/>
    </xf>
    <xf numFmtId="204" fontId="0" fillId="48" borderId="0" xfId="323" applyNumberFormat="1" applyFont="1" applyFill="1" applyBorder="1" applyAlignment="1">
      <alignment vertical="top"/>
      <protection/>
    </xf>
    <xf numFmtId="38" fontId="8" fillId="47" borderId="54" xfId="323" applyNumberFormat="1" applyFont="1" applyFill="1" applyBorder="1">
      <alignment/>
      <protection/>
    </xf>
    <xf numFmtId="221" fontId="8" fillId="47" borderId="54" xfId="323" applyNumberFormat="1" applyFont="1" applyFill="1" applyBorder="1">
      <alignment/>
      <protection/>
    </xf>
    <xf numFmtId="201" fontId="0" fillId="48" borderId="0" xfId="0" applyNumberFormat="1" applyFont="1" applyFill="1" applyBorder="1" applyAlignment="1">
      <alignment/>
    </xf>
    <xf numFmtId="204" fontId="0" fillId="48" borderId="0" xfId="300" applyNumberFormat="1" applyFont="1" applyFill="1" applyAlignment="1">
      <alignment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4" xfId="323" applyFont="1" applyFill="1" applyBorder="1" applyAlignment="1">
      <alignment horizontal="center" vertical="center"/>
      <protection/>
    </xf>
    <xf numFmtId="0" fontId="6" fillId="48" borderId="56" xfId="323" applyFont="1" applyFill="1" applyBorder="1" applyAlignment="1">
      <alignment horizontal="center" vertical="center"/>
      <protection/>
    </xf>
    <xf numFmtId="0" fontId="6" fillId="48" borderId="53" xfId="323" applyFont="1" applyFill="1" applyBorder="1" applyAlignment="1">
      <alignment horizontal="center" vertical="center"/>
      <protection/>
    </xf>
    <xf numFmtId="0" fontId="6" fillId="47" borderId="57" xfId="323" applyFont="1" applyFill="1" applyBorder="1" applyAlignment="1">
      <alignment vertical="center"/>
      <protection/>
    </xf>
    <xf numFmtId="0" fontId="6" fillId="47" borderId="58" xfId="323" applyFont="1" applyFill="1" applyBorder="1" applyAlignment="1">
      <alignment vertical="center"/>
      <protection/>
    </xf>
    <xf numFmtId="0" fontId="11" fillId="48" borderId="21" xfId="0" applyFont="1" applyFill="1" applyBorder="1" applyAlignment="1">
      <alignment horizontal="center" vertical="center" wrapText="1"/>
    </xf>
    <xf numFmtId="221" fontId="0" fillId="47" borderId="0" xfId="323" applyNumberFormat="1" applyFont="1" applyFill="1">
      <alignment/>
      <protection/>
    </xf>
    <xf numFmtId="3" fontId="8" fillId="48" borderId="26" xfId="300" applyNumberFormat="1" applyFont="1" applyFill="1" applyBorder="1" applyAlignment="1">
      <alignment horizontal="right" vertical="center" indent="1"/>
    </xf>
    <xf numFmtId="3" fontId="6" fillId="48" borderId="52" xfId="300" applyNumberFormat="1" applyFont="1" applyFill="1" applyBorder="1" applyAlignment="1">
      <alignment horizontal="right" vertical="center" indent="1"/>
    </xf>
    <xf numFmtId="3" fontId="11" fillId="48" borderId="52" xfId="300" applyNumberFormat="1" applyFont="1" applyFill="1" applyBorder="1" applyAlignment="1">
      <alignment horizontal="right" vertical="center" indent="1"/>
    </xf>
    <xf numFmtId="3" fontId="0" fillId="48" borderId="52" xfId="300" applyNumberFormat="1" applyFont="1" applyFill="1" applyBorder="1" applyAlignment="1">
      <alignment horizontal="right" vertical="center" indent="1"/>
    </xf>
    <xf numFmtId="38" fontId="0" fillId="48" borderId="52" xfId="300" applyNumberFormat="1" applyFont="1" applyFill="1" applyBorder="1" applyAlignment="1">
      <alignment horizontal="right" vertical="center" indent="1"/>
    </xf>
    <xf numFmtId="3" fontId="33" fillId="48" borderId="52" xfId="300" applyNumberFormat="1" applyFont="1" applyFill="1" applyBorder="1" applyAlignment="1">
      <alignment horizontal="right" vertical="center" indent="1"/>
    </xf>
    <xf numFmtId="222" fontId="42" fillId="47" borderId="0" xfId="323" applyNumberFormat="1" applyFont="1" applyFill="1">
      <alignment/>
      <protection/>
    </xf>
    <xf numFmtId="186" fontId="8" fillId="47" borderId="0" xfId="323" applyNumberFormat="1" applyFont="1" applyFill="1">
      <alignment/>
      <protection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224" fontId="93" fillId="48" borderId="0" xfId="0" applyNumberFormat="1" applyFont="1" applyFill="1" applyAlignment="1">
      <alignment/>
    </xf>
    <xf numFmtId="3" fontId="8" fillId="48" borderId="22" xfId="300" applyNumberFormat="1" applyFont="1" applyFill="1" applyBorder="1" applyAlignment="1">
      <alignment horizontal="right" indent="1"/>
    </xf>
    <xf numFmtId="0" fontId="6" fillId="47" borderId="59" xfId="323" applyFont="1" applyFill="1" applyBorder="1" applyAlignment="1">
      <alignment vertical="center"/>
      <protection/>
    </xf>
    <xf numFmtId="0" fontId="6" fillId="47" borderId="60" xfId="323" applyFont="1" applyFill="1" applyBorder="1" applyAlignment="1">
      <alignment vertical="center"/>
      <protection/>
    </xf>
    <xf numFmtId="0" fontId="8" fillId="48" borderId="19" xfId="323" applyFont="1" applyFill="1" applyBorder="1" applyAlignment="1">
      <alignment horizontal="left" vertical="center" indent="3"/>
      <protection/>
    </xf>
    <xf numFmtId="3" fontId="8" fillId="0" borderId="52" xfId="300" applyNumberFormat="1" applyFont="1" applyFill="1" applyBorder="1" applyAlignment="1">
      <alignment horizontal="right" vertical="center" indent="1"/>
    </xf>
    <xf numFmtId="3" fontId="8" fillId="48" borderId="52" xfId="300" applyNumberFormat="1" applyFont="1" applyFill="1" applyBorder="1" applyAlignment="1">
      <alignment horizontal="right" vertical="center" indent="1"/>
    </xf>
    <xf numFmtId="0" fontId="6" fillId="48" borderId="51" xfId="323" applyFont="1" applyFill="1" applyBorder="1" applyAlignment="1">
      <alignment horizontal="center" vertical="center" wrapText="1"/>
      <protection/>
    </xf>
    <xf numFmtId="0" fontId="6" fillId="48" borderId="52" xfId="323" applyFont="1" applyFill="1" applyBorder="1" applyAlignment="1">
      <alignment horizontal="center" vertical="center" wrapText="1"/>
      <protection/>
    </xf>
    <xf numFmtId="3" fontId="8" fillId="48" borderId="53" xfId="300" applyNumberFormat="1" applyFont="1" applyFill="1" applyBorder="1" applyAlignment="1">
      <alignment horizontal="right" vertical="center" indent="1"/>
    </xf>
    <xf numFmtId="3" fontId="11" fillId="48" borderId="61" xfId="300" applyNumberFormat="1" applyFont="1" applyFill="1" applyBorder="1" applyAlignment="1">
      <alignment horizontal="right" vertical="center" indent="1"/>
    </xf>
    <xf numFmtId="3" fontId="0" fillId="0" borderId="22" xfId="300" applyNumberFormat="1" applyFont="1" applyFill="1" applyBorder="1" applyAlignment="1">
      <alignment horizontal="right" vertical="center" indent="1"/>
    </xf>
    <xf numFmtId="0" fontId="11" fillId="48" borderId="54" xfId="0" applyFont="1" applyFill="1" applyBorder="1" applyAlignment="1">
      <alignment horizontal="left" vertical="center"/>
    </xf>
    <xf numFmtId="0" fontId="8" fillId="48" borderId="19" xfId="0" applyFont="1" applyFill="1" applyBorder="1" applyAlignment="1">
      <alignment horizontal="center" vertical="center"/>
    </xf>
    <xf numFmtId="0" fontId="8" fillId="48" borderId="54" xfId="0" applyFont="1" applyFill="1" applyBorder="1" applyAlignment="1">
      <alignment horizontal="center" vertical="center"/>
    </xf>
    <xf numFmtId="0" fontId="33" fillId="48" borderId="19" xfId="0" applyFont="1" applyFill="1" applyBorder="1" applyAlignment="1">
      <alignment horizontal="center" vertical="center"/>
    </xf>
    <xf numFmtId="214" fontId="0" fillId="48" borderId="0" xfId="0" applyNumberFormat="1" applyFont="1" applyFill="1" applyAlignment="1">
      <alignment vertical="center"/>
    </xf>
    <xf numFmtId="219" fontId="8" fillId="47" borderId="0" xfId="323" applyNumberFormat="1" applyFont="1" applyFill="1">
      <alignment/>
      <protection/>
    </xf>
    <xf numFmtId="0" fontId="8" fillId="48" borderId="22" xfId="0" applyFont="1" applyFill="1" applyBorder="1" applyAlignment="1">
      <alignment horizontal="center" vertical="center"/>
    </xf>
    <xf numFmtId="3" fontId="8" fillId="49" borderId="22" xfId="300" applyNumberFormat="1" applyFont="1" applyFill="1" applyBorder="1" applyAlignment="1">
      <alignment horizontal="right" vertical="center" indent="1"/>
    </xf>
    <xf numFmtId="204" fontId="0" fillId="48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3" fontId="11" fillId="48" borderId="46" xfId="300" applyNumberFormat="1" applyFont="1" applyFill="1" applyBorder="1" applyAlignment="1">
      <alignment horizontal="right" vertical="center" indent="1"/>
    </xf>
    <xf numFmtId="3" fontId="8" fillId="48" borderId="46" xfId="300" applyNumberFormat="1" applyFont="1" applyFill="1" applyBorder="1" applyAlignment="1">
      <alignment horizontal="right" vertical="center" indent="1"/>
    </xf>
    <xf numFmtId="0" fontId="12" fillId="48" borderId="0" xfId="0" applyFont="1" applyFill="1" applyAlignment="1">
      <alignment horizontal="center"/>
    </xf>
    <xf numFmtId="0" fontId="13" fillId="48" borderId="0" xfId="0" applyFont="1" applyFill="1" applyAlignment="1">
      <alignment horizontal="center" vertical="center" wrapText="1"/>
    </xf>
    <xf numFmtId="174" fontId="100" fillId="48" borderId="0" xfId="0" applyNumberFormat="1" applyFont="1" applyFill="1" applyAlignment="1">
      <alignment horizontal="center" vertical="center"/>
    </xf>
    <xf numFmtId="174" fontId="12" fillId="48" borderId="0" xfId="0" applyNumberFormat="1" applyFont="1" applyFill="1" applyAlignment="1">
      <alignment horizontal="center"/>
    </xf>
    <xf numFmtId="182" fontId="12" fillId="48" borderId="0" xfId="300" applyNumberFormat="1" applyFont="1" applyFill="1" applyAlignment="1">
      <alignment horizontal="center"/>
    </xf>
    <xf numFmtId="0" fontId="12" fillId="48" borderId="19" xfId="0" applyFont="1" applyFill="1" applyBorder="1" applyAlignment="1">
      <alignment horizontal="center" vertical="center"/>
    </xf>
    <xf numFmtId="193" fontId="12" fillId="48" borderId="0" xfId="300" applyNumberFormat="1" applyFont="1" applyFill="1" applyBorder="1" applyAlignment="1">
      <alignment horizontal="center" vertical="center"/>
    </xf>
    <xf numFmtId="3" fontId="8" fillId="48" borderId="0" xfId="300" applyNumberFormat="1" applyFont="1" applyFill="1" applyBorder="1" applyAlignment="1">
      <alignment horizontal="right" vertical="center" indent="1"/>
    </xf>
    <xf numFmtId="3" fontId="11" fillId="48" borderId="54" xfId="300" applyNumberFormat="1" applyFont="1" applyFill="1" applyBorder="1" applyAlignment="1">
      <alignment horizontal="right" vertical="center" indent="1"/>
    </xf>
    <xf numFmtId="3" fontId="8" fillId="48" borderId="54" xfId="300" applyNumberFormat="1" applyFont="1" applyFill="1" applyBorder="1" applyAlignment="1">
      <alignment horizontal="right" vertical="center" indent="1"/>
    </xf>
    <xf numFmtId="3" fontId="11" fillId="48" borderId="62" xfId="300" applyNumberFormat="1" applyFont="1" applyFill="1" applyBorder="1" applyAlignment="1">
      <alignment horizontal="right" vertical="center" indent="1"/>
    </xf>
    <xf numFmtId="3" fontId="33" fillId="48" borderId="62" xfId="300" applyNumberFormat="1" applyFont="1" applyFill="1" applyBorder="1" applyAlignment="1">
      <alignment horizontal="right" vertical="center" indent="1"/>
    </xf>
    <xf numFmtId="0" fontId="8" fillId="48" borderId="22" xfId="323" applyFont="1" applyFill="1" applyBorder="1" applyAlignment="1">
      <alignment horizontal="left" vertical="center" indent="3"/>
      <protection/>
    </xf>
    <xf numFmtId="0" fontId="8" fillId="0" borderId="22" xfId="323" applyFont="1" applyBorder="1" applyAlignment="1">
      <alignment horizontal="left" vertical="center" indent="3"/>
      <protection/>
    </xf>
    <xf numFmtId="14" fontId="99" fillId="48" borderId="0" xfId="289" applyNumberFormat="1" applyFont="1" applyFill="1" applyAlignment="1" applyProtection="1">
      <alignment horizontal="left" vertical="center"/>
      <protection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99" fillId="48" borderId="0" xfId="289" applyFont="1" applyFill="1" applyAlignment="1" applyProtection="1">
      <alignment horizontal="left" vertical="center"/>
      <protection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74" fontId="98" fillId="48" borderId="0" xfId="0" applyNumberFormat="1" applyFont="1" applyFill="1" applyAlignment="1">
      <alignment horizontal="center" vertical="center" wrapText="1"/>
    </xf>
    <xf numFmtId="0" fontId="0" fillId="47" borderId="0" xfId="0" applyFont="1" applyFill="1" applyAlignment="1">
      <alignment horizontal="left" vertical="center" wrapText="1"/>
    </xf>
    <xf numFmtId="14" fontId="0" fillId="47" borderId="0" xfId="0" applyNumberFormat="1" applyFont="1" applyFill="1" applyAlignment="1">
      <alignment horizontal="left" vertical="center" wrapText="1"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3" fillId="48" borderId="63" xfId="331" applyFont="1" applyFill="1" applyBorder="1" applyAlignment="1">
      <alignment horizontal="center" vertical="center"/>
      <protection/>
    </xf>
    <xf numFmtId="0" fontId="3" fillId="48" borderId="64" xfId="331" applyFont="1" applyFill="1" applyBorder="1" applyAlignment="1">
      <alignment horizontal="center" vertical="center"/>
      <protection/>
    </xf>
    <xf numFmtId="0" fontId="3" fillId="48" borderId="65" xfId="331" applyFont="1" applyFill="1" applyBorder="1" applyAlignment="1">
      <alignment horizontal="center" vertical="center"/>
      <protection/>
    </xf>
    <xf numFmtId="0" fontId="6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left" vertical="center" wrapText="1"/>
      <protection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6" fillId="48" borderId="0" xfId="0" applyFont="1" applyFill="1" applyBorder="1" applyAlignment="1">
      <alignment horizontal="center" vertical="center"/>
    </xf>
    <xf numFmtId="0" fontId="12" fillId="47" borderId="0" xfId="323" applyFont="1" applyFill="1" applyBorder="1" applyAlignment="1">
      <alignment horizontal="left" vertical="center" wrapText="1"/>
      <protection/>
    </xf>
    <xf numFmtId="0" fontId="6" fillId="47" borderId="66" xfId="323" applyFont="1" applyFill="1" applyBorder="1" applyAlignment="1">
      <alignment horizontal="center" vertical="center"/>
      <protection/>
    </xf>
    <xf numFmtId="0" fontId="6" fillId="47" borderId="53" xfId="323" applyFont="1" applyFill="1" applyBorder="1" applyAlignment="1">
      <alignment horizontal="center" vertical="center"/>
      <protection/>
    </xf>
    <xf numFmtId="37" fontId="6" fillId="47" borderId="51" xfId="300" applyNumberFormat="1" applyFont="1" applyFill="1" applyBorder="1" applyAlignment="1">
      <alignment horizontal="right" vertical="center" wrapText="1" indent="1"/>
    </xf>
    <xf numFmtId="37" fontId="6" fillId="47" borderId="53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37" fontId="6" fillId="47" borderId="45" xfId="300" applyNumberFormat="1" applyFont="1" applyFill="1" applyBorder="1" applyAlignment="1">
      <alignment horizontal="right" vertical="center" wrapText="1" indent="1"/>
    </xf>
    <xf numFmtId="37" fontId="6" fillId="47" borderId="44" xfId="300" applyNumberFormat="1" applyFont="1" applyFill="1" applyBorder="1" applyAlignment="1">
      <alignment horizontal="right" vertical="center" wrapText="1" indent="1"/>
    </xf>
    <xf numFmtId="37" fontId="6" fillId="47" borderId="38" xfId="300" applyNumberFormat="1" applyFont="1" applyFill="1" applyBorder="1" applyAlignment="1">
      <alignment horizontal="right" vertical="center" wrapText="1" indent="1"/>
    </xf>
    <xf numFmtId="37" fontId="6" fillId="47" borderId="56" xfId="300" applyNumberFormat="1" applyFont="1" applyFill="1" applyBorder="1" applyAlignment="1">
      <alignment horizontal="right" vertical="center" wrapText="1" indent="1"/>
    </xf>
    <xf numFmtId="37" fontId="6" fillId="48" borderId="25" xfId="300" applyNumberFormat="1" applyFont="1" applyFill="1" applyBorder="1" applyAlignment="1">
      <alignment horizontal="right" vertical="center" wrapText="1" indent="1"/>
    </xf>
    <xf numFmtId="37" fontId="6" fillId="48" borderId="43" xfId="300" applyNumberFormat="1" applyFont="1" applyFill="1" applyBorder="1" applyAlignment="1">
      <alignment horizontal="right" vertical="center" wrapText="1" indent="1"/>
    </xf>
    <xf numFmtId="0" fontId="6" fillId="47" borderId="67" xfId="323" applyFont="1" applyFill="1" applyBorder="1" applyAlignment="1">
      <alignment horizontal="center" vertical="center"/>
      <protection/>
    </xf>
    <xf numFmtId="0" fontId="6" fillId="47" borderId="40" xfId="323" applyFont="1" applyFill="1" applyBorder="1" applyAlignment="1">
      <alignment horizontal="center" vertical="center"/>
      <protection/>
    </xf>
    <xf numFmtId="37" fontId="6" fillId="47" borderId="48" xfId="300" applyNumberFormat="1" applyFont="1" applyFill="1" applyBorder="1" applyAlignment="1">
      <alignment horizontal="right" vertical="center" wrapText="1" indent="1"/>
    </xf>
    <xf numFmtId="37" fontId="6" fillId="47" borderId="47" xfId="300" applyNumberFormat="1" applyFont="1" applyFill="1" applyBorder="1" applyAlignment="1">
      <alignment horizontal="right" vertical="center" wrapText="1" indent="1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1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1"/>
    </xf>
    <xf numFmtId="37" fontId="6" fillId="48" borderId="23" xfId="300" applyNumberFormat="1" applyFont="1" applyFill="1" applyBorder="1" applyAlignment="1">
      <alignment horizontal="right" vertical="center" wrapText="1" indent="1"/>
    </xf>
    <xf numFmtId="37" fontId="6" fillId="48" borderId="21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37" fontId="6" fillId="47" borderId="37" xfId="300" applyNumberFormat="1" applyFont="1" applyFill="1" applyBorder="1" applyAlignment="1">
      <alignment horizontal="right" vertical="center" wrapText="1" indent="1"/>
    </xf>
    <xf numFmtId="37" fontId="6" fillId="47" borderId="40" xfId="300" applyNumberFormat="1" applyFont="1" applyFill="1" applyBorder="1" applyAlignment="1">
      <alignment horizontal="right" vertical="center" wrapText="1" indent="1"/>
    </xf>
    <xf numFmtId="0" fontId="6" fillId="47" borderId="59" xfId="323" applyFont="1" applyFill="1" applyBorder="1" applyAlignment="1">
      <alignment horizontal="center" vertical="center" wrapText="1"/>
      <protection/>
    </xf>
    <xf numFmtId="0" fontId="6" fillId="47" borderId="60" xfId="323" applyFont="1" applyFill="1" applyBorder="1" applyAlignment="1">
      <alignment horizontal="center" vertical="center" wrapText="1"/>
      <protection/>
    </xf>
    <xf numFmtId="0" fontId="6" fillId="47" borderId="68" xfId="323" applyFont="1" applyFill="1" applyBorder="1" applyAlignment="1">
      <alignment horizontal="center" vertical="center" wrapText="1"/>
      <protection/>
    </xf>
    <xf numFmtId="0" fontId="6" fillId="48" borderId="20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6" fillId="47" borderId="57" xfId="323" applyFont="1" applyFill="1" applyBorder="1" applyAlignment="1">
      <alignment horizontal="center" vertical="center"/>
      <protection/>
    </xf>
    <xf numFmtId="0" fontId="6" fillId="47" borderId="47" xfId="323" applyFont="1" applyFill="1" applyBorder="1" applyAlignment="1">
      <alignment horizontal="center" vertical="center"/>
      <protection/>
    </xf>
    <xf numFmtId="0" fontId="10" fillId="48" borderId="0" xfId="0" applyFont="1" applyFill="1" applyAlignment="1">
      <alignment horizontal="left" vertical="center"/>
    </xf>
    <xf numFmtId="0" fontId="6" fillId="48" borderId="25" xfId="323" applyFont="1" applyFill="1" applyBorder="1" applyAlignment="1">
      <alignment horizontal="center" vertical="center" wrapText="1"/>
      <protection/>
    </xf>
    <xf numFmtId="0" fontId="6" fillId="48" borderId="4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0" fontId="6" fillId="47" borderId="69" xfId="323" applyFont="1" applyFill="1" applyBorder="1" applyAlignment="1">
      <alignment horizontal="center" vertical="center" wrapText="1"/>
      <protection/>
    </xf>
    <xf numFmtId="0" fontId="6" fillId="47" borderId="44" xfId="323" applyFont="1" applyFill="1" applyBorder="1" applyAlignment="1">
      <alignment horizontal="center" vertical="center" wrapText="1"/>
      <protection/>
    </xf>
    <xf numFmtId="0" fontId="11" fillId="48" borderId="70" xfId="0" applyFont="1" applyFill="1" applyBorder="1" applyAlignment="1">
      <alignment horizontal="center" vertical="center" wrapText="1"/>
    </xf>
    <xf numFmtId="0" fontId="11" fillId="48" borderId="71" xfId="0" applyFont="1" applyFill="1" applyBorder="1" applyAlignment="1">
      <alignment horizontal="center" vertical="center" wrapText="1"/>
    </xf>
    <xf numFmtId="38" fontId="6" fillId="48" borderId="21" xfId="300" applyNumberFormat="1" applyFont="1" applyFill="1" applyBorder="1" applyAlignment="1">
      <alignment horizontal="right" vertical="center" indent="1"/>
    </xf>
    <xf numFmtId="38" fontId="6" fillId="48" borderId="23" xfId="300" applyNumberFormat="1" applyFont="1" applyFill="1" applyBorder="1" applyAlignment="1">
      <alignment horizontal="right" vertical="center" inden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" fontId="6" fillId="48" borderId="21" xfId="300" applyNumberFormat="1" applyFont="1" applyFill="1" applyBorder="1" applyAlignment="1">
      <alignment horizontal="right" vertical="center" indent="1"/>
    </xf>
    <xf numFmtId="3" fontId="6" fillId="48" borderId="23" xfId="300" applyNumberFormat="1" applyFont="1" applyFill="1" applyBorder="1" applyAlignment="1">
      <alignment horizontal="right" vertical="center" indent="1"/>
    </xf>
    <xf numFmtId="0" fontId="11" fillId="48" borderId="72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0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1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  <xf numFmtId="3" fontId="6" fillId="48" borderId="73" xfId="300" applyNumberFormat="1" applyFont="1" applyFill="1" applyBorder="1" applyAlignment="1">
      <alignment horizontal="right" vertical="center" indent="1"/>
    </xf>
    <xf numFmtId="3" fontId="6" fillId="48" borderId="74" xfId="300" applyNumberFormat="1" applyFont="1" applyFill="1" applyBorder="1" applyAlignment="1">
      <alignment horizontal="right" vertical="center" indent="1"/>
    </xf>
    <xf numFmtId="0" fontId="11" fillId="48" borderId="75" xfId="0" applyFont="1" applyFill="1" applyBorder="1" applyAlignment="1">
      <alignment horizontal="center" vertical="center" wrapText="1"/>
    </xf>
    <xf numFmtId="0" fontId="11" fillId="48" borderId="76" xfId="0" applyFont="1" applyFill="1" applyBorder="1" applyAlignment="1">
      <alignment horizontal="center" vertical="center" wrapText="1"/>
    </xf>
    <xf numFmtId="3" fontId="6" fillId="48" borderId="32" xfId="300" applyNumberFormat="1" applyFont="1" applyFill="1" applyBorder="1" applyAlignment="1">
      <alignment horizontal="right" vertical="center" indent="1"/>
    </xf>
    <xf numFmtId="3" fontId="6" fillId="48" borderId="26" xfId="300" applyNumberFormat="1" applyFont="1" applyFill="1" applyBorder="1" applyAlignment="1">
      <alignment horizontal="right" vertical="center" inden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3" fontId="6" fillId="48" borderId="25" xfId="300" applyNumberFormat="1" applyFont="1" applyFill="1" applyBorder="1" applyAlignment="1">
      <alignment horizontal="right" vertical="center" indent="1"/>
    </xf>
    <xf numFmtId="3" fontId="6" fillId="48" borderId="43" xfId="300" applyNumberFormat="1" applyFont="1" applyFill="1" applyBorder="1" applyAlignment="1">
      <alignment horizontal="right" vertical="center" indent="1"/>
    </xf>
    <xf numFmtId="0" fontId="11" fillId="48" borderId="0" xfId="0" applyFont="1" applyFill="1" applyBorder="1" applyAlignment="1">
      <alignment horizontal="left" vertical="center" wrapText="1"/>
    </xf>
    <xf numFmtId="0" fontId="6" fillId="48" borderId="70" xfId="0" applyFont="1" applyFill="1" applyBorder="1" applyAlignment="1">
      <alignment horizontal="center" vertical="center" wrapText="1"/>
    </xf>
    <xf numFmtId="0" fontId="6" fillId="48" borderId="71" xfId="0" applyFont="1" applyFill="1" applyBorder="1" applyAlignment="1">
      <alignment horizontal="center" vertical="center" wrapText="1"/>
    </xf>
    <xf numFmtId="0" fontId="11" fillId="48" borderId="77" xfId="0" applyFont="1" applyFill="1" applyBorder="1" applyAlignment="1">
      <alignment horizontal="center" vertical="center" wrapText="1"/>
    </xf>
    <xf numFmtId="0" fontId="11" fillId="48" borderId="78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0" fontId="10" fillId="48" borderId="0" xfId="0" applyFont="1" applyFill="1" applyAlignment="1">
      <alignment horizontal="left" vertical="center" wrapText="1"/>
    </xf>
    <xf numFmtId="216" fontId="6" fillId="48" borderId="21" xfId="300" applyNumberFormat="1" applyFont="1" applyFill="1" applyBorder="1" applyAlignment="1">
      <alignment horizontal="right" vertical="center" indent="2"/>
    </xf>
    <xf numFmtId="216" fontId="6" fillId="48" borderId="23" xfId="300" applyNumberFormat="1" applyFont="1" applyFill="1" applyBorder="1" applyAlignment="1">
      <alignment horizontal="right" vertical="center" indent="2"/>
    </xf>
    <xf numFmtId="216" fontId="6" fillId="48" borderId="22" xfId="300" applyNumberFormat="1" applyFont="1" applyFill="1" applyBorder="1" applyAlignment="1">
      <alignment horizontal="right" vertical="center" indent="2"/>
    </xf>
    <xf numFmtId="0" fontId="6" fillId="48" borderId="0" xfId="0" applyFont="1" applyFill="1" applyAlignment="1">
      <alignment horizontal="left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0" fontId="11" fillId="48" borderId="20" xfId="323" applyFont="1" applyFill="1" applyBorder="1" applyAlignment="1">
      <alignment horizontal="center" vertical="center" wrapText="1"/>
      <protection/>
    </xf>
    <xf numFmtId="0" fontId="11" fillId="48" borderId="24" xfId="323" applyFont="1" applyFill="1" applyBorder="1" applyAlignment="1">
      <alignment horizontal="center" vertical="center" wrapText="1"/>
      <protection/>
    </xf>
    <xf numFmtId="0" fontId="11" fillId="48" borderId="21" xfId="323" applyFont="1" applyFill="1" applyBorder="1" applyAlignment="1">
      <alignment horizontal="center" vertical="center" wrapText="1"/>
      <protection/>
    </xf>
    <xf numFmtId="0" fontId="11" fillId="48" borderId="23" xfId="323" applyFont="1" applyFill="1" applyBorder="1" applyAlignment="1">
      <alignment horizontal="center" vertical="center" wrapText="1"/>
      <protection/>
    </xf>
    <xf numFmtId="0" fontId="6" fillId="48" borderId="38" xfId="323" applyFont="1" applyFill="1" applyBorder="1" applyAlignment="1">
      <alignment horizontal="left" vertical="center" indent="1"/>
      <protection/>
    </xf>
    <xf numFmtId="0" fontId="6" fillId="48" borderId="56" xfId="323" applyFont="1" applyFill="1" applyBorder="1" applyAlignment="1">
      <alignment horizontal="left" vertical="center" indent="1"/>
      <protection/>
    </xf>
    <xf numFmtId="3" fontId="6" fillId="48" borderId="51" xfId="300" applyNumberFormat="1" applyFont="1" applyFill="1" applyBorder="1" applyAlignment="1">
      <alignment horizontal="right" vertical="center" indent="1"/>
    </xf>
    <xf numFmtId="3" fontId="6" fillId="48" borderId="79" xfId="300" applyNumberFormat="1" applyFont="1" applyFill="1" applyBorder="1" applyAlignment="1">
      <alignment horizontal="right" vertical="center" indent="1"/>
    </xf>
    <xf numFmtId="0" fontId="6" fillId="48" borderId="20" xfId="323" applyFont="1" applyFill="1" applyBorder="1" applyAlignment="1">
      <alignment horizontal="left" vertical="center" indent="1"/>
      <protection/>
    </xf>
    <xf numFmtId="0" fontId="6" fillId="48" borderId="24" xfId="323" applyFont="1" applyFill="1" applyBorder="1" applyAlignment="1">
      <alignment horizontal="left" vertical="center" indent="1"/>
      <protection/>
    </xf>
    <xf numFmtId="3" fontId="6" fillId="48" borderId="53" xfId="300" applyNumberFormat="1" applyFont="1" applyFill="1" applyBorder="1" applyAlignment="1">
      <alignment horizontal="right" vertical="center" indent="1"/>
    </xf>
    <xf numFmtId="3" fontId="8" fillId="48" borderId="80" xfId="300" applyNumberFormat="1" applyFont="1" applyFill="1" applyBorder="1" applyAlignment="1">
      <alignment horizontal="right" vertical="center" indent="1"/>
    </xf>
    <xf numFmtId="3" fontId="8" fillId="0" borderId="22" xfId="300" applyNumberFormat="1" applyFont="1" applyFill="1" applyBorder="1" applyAlignment="1">
      <alignment horizontal="right" vertical="center" indent="1"/>
    </xf>
    <xf numFmtId="0" fontId="8" fillId="0" borderId="19" xfId="323" applyFont="1" applyBorder="1" applyAlignment="1">
      <alignment horizontal="left" vertical="center" indent="3"/>
      <protection/>
    </xf>
    <xf numFmtId="38" fontId="33" fillId="48" borderId="23" xfId="300" applyNumberFormat="1" applyFont="1" applyFill="1" applyBorder="1" applyAlignment="1">
      <alignment horizontal="right" vertical="center" indent="1"/>
    </xf>
    <xf numFmtId="182" fontId="0" fillId="48" borderId="0" xfId="323" applyNumberFormat="1" applyFont="1" applyFill="1" applyBorder="1" applyAlignment="1">
      <alignment vertical="center" wrapText="1"/>
      <protection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 2" xfId="177"/>
    <cellStyle name="Buena 3" xfId="178"/>
    <cellStyle name="Buena 4" xfId="179"/>
    <cellStyle name="Buena 5" xfId="180"/>
    <cellStyle name="Buena 6" xfId="181"/>
    <cellStyle name="Buena 7" xfId="182"/>
    <cellStyle name="Buena 8" xfId="183"/>
    <cellStyle name="Buena 9" xfId="184"/>
    <cellStyle name="Bueno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Porcentual 5" xfId="350"/>
    <cellStyle name="Salida" xfId="351"/>
    <cellStyle name="Salida 2" xfId="352"/>
    <cellStyle name="Salida 3" xfId="353"/>
    <cellStyle name="Salida 4" xfId="354"/>
    <cellStyle name="Salida 5" xfId="355"/>
    <cellStyle name="Salida 6" xfId="356"/>
    <cellStyle name="Salida 7" xfId="357"/>
    <cellStyle name="Salida 8" xfId="358"/>
    <cellStyle name="Salida 9" xfId="359"/>
    <cellStyle name="Texto de advertencia" xfId="360"/>
    <cellStyle name="Texto de advertencia 2" xfId="361"/>
    <cellStyle name="Texto de advertencia 3" xfId="362"/>
    <cellStyle name="Texto de advertencia 4" xfId="363"/>
    <cellStyle name="Texto de advertencia 5" xfId="364"/>
    <cellStyle name="Texto de advertencia 6" xfId="365"/>
    <cellStyle name="Texto de advertencia 7" xfId="366"/>
    <cellStyle name="Texto de advertencia 8" xfId="367"/>
    <cellStyle name="Texto de advertencia 9" xfId="368"/>
    <cellStyle name="Texto explicativo" xfId="369"/>
    <cellStyle name="Texto explicativo 2" xfId="370"/>
    <cellStyle name="Texto explicativo 3" xfId="371"/>
    <cellStyle name="Texto explicativo 4" xfId="372"/>
    <cellStyle name="Texto explicativo 5" xfId="373"/>
    <cellStyle name="Texto explicativo 6" xfId="374"/>
    <cellStyle name="Texto explicativo 7" xfId="375"/>
    <cellStyle name="Texto explicativo 8" xfId="376"/>
    <cellStyle name="Texto explicativo 9" xfId="377"/>
    <cellStyle name="Título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3"/>
          <c:y val="0.09775"/>
          <c:w val="0.491"/>
          <c:h val="0.793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Resumen!$C$13:$C$14</c:f>
              <c:numCache>
                <c:ptCount val="2"/>
                <c:pt idx="0">
                  <c:v>7634.23402307</c:v>
                </c:pt>
                <c:pt idx="1">
                  <c:v>1886.01393321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75"/>
          <c:y val="0.09725"/>
          <c:w val="0.49375"/>
          <c:h val="0.79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Resumen!$C$30:$C$31</c:f>
              <c:numCache>
                <c:ptCount val="2"/>
                <c:pt idx="0">
                  <c:v>4114.49646355</c:v>
                </c:pt>
                <c:pt idx="1">
                  <c:v>5405.75149273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525"/>
          <c:y val="0.09675"/>
          <c:w val="0.50225"/>
          <c:h val="0.794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Resumen!$H$30:$H$31</c:f>
              <c:numCache>
                <c:ptCount val="2"/>
                <c:pt idx="0">
                  <c:v>8565.44144219</c:v>
                </c:pt>
                <c:pt idx="1">
                  <c:v>954.80651409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"/>
          <c:y val="0.09725"/>
          <c:w val="0.49725"/>
          <c:h val="0.793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Resumen!$H$13:$H$14</c:f>
              <c:numCache>
                <c:ptCount val="2"/>
                <c:pt idx="0">
                  <c:v>4253.3786932</c:v>
                </c:pt>
                <c:pt idx="1">
                  <c:v>5266.86926308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25"/>
          <c:y val="0.182"/>
          <c:w val="0.50825"/>
          <c:h val="0.81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Resumen!$B$20:$B$24</c:f>
              <c:strCache>
                <c:ptCount val="5"/>
                <c:pt idx="0">
                  <c:v>Bonos</c:v>
                </c:pt>
                <c:pt idx="1">
                  <c:v>Banca Comercial</c:v>
                </c:pt>
                <c:pt idx="2">
                  <c:v>Ministerio de Economía y Finanzas</c:v>
                </c:pt>
                <c:pt idx="3">
                  <c:v>Banco Estatal Nacional</c:v>
                </c:pt>
                <c:pt idx="4">
                  <c:v>Otras Fuentes</c:v>
                </c:pt>
              </c:strCache>
            </c:strRef>
          </c:cat>
          <c:val>
            <c:numRef>
              <c:f>Resumen!$C$20:$C$24</c:f>
              <c:numCache>
                <c:ptCount val="5"/>
                <c:pt idx="0">
                  <c:v>5266.86926308</c:v>
                </c:pt>
                <c:pt idx="1">
                  <c:v>2656.7798487200002</c:v>
                </c:pt>
                <c:pt idx="2">
                  <c:v>459.76670065</c:v>
                </c:pt>
                <c:pt idx="3">
                  <c:v>453.60115651999996</c:v>
                </c:pt>
                <c:pt idx="4">
                  <c:v>683.2309873099999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1005"/>
          <c:w val="0.503"/>
          <c:h val="0.791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Resumen!$G$20:$G$23</c:f>
              <c:strCache>
                <c:ptCount val="4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Resumen!$H$20:$H$23</c:f>
              <c:numCache>
                <c:ptCount val="4"/>
                <c:pt idx="0">
                  <c:v>7242.091146410001</c:v>
                </c:pt>
                <c:pt idx="1">
                  <c:v>1842.76166255</c:v>
                </c:pt>
                <c:pt idx="2">
                  <c:v>57.785181619999996</c:v>
                </c:pt>
                <c:pt idx="3">
                  <c:v>377.6099657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725"/>
          <c:y val="0.136"/>
          <c:w val="0.77575"/>
          <c:h val="0.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'DEP-C1'!$B$15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'DEP-C1'!$C$12:$BU$13</c:f>
              <c:multiLvlStrCache/>
            </c:multiLvlStrRef>
          </c:cat>
          <c:val>
            <c:numRef>
              <c:f>'DEP-C1'!$C$15:$BU$15</c:f>
              <c:numCache/>
            </c:numRef>
          </c:val>
        </c:ser>
        <c:ser>
          <c:idx val="2"/>
          <c:order val="1"/>
          <c:tx>
            <c:strRef>
              <c:f>'DEP-C1'!$B$16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'DEP-C1'!$C$12:$BU$13</c:f>
              <c:multiLvlStrCache/>
            </c:multiLvlStrRef>
          </c:cat>
          <c:val>
            <c:numRef>
              <c:f>'DEP-C1'!$C$16:$BU$16</c:f>
              <c:numCache/>
            </c:numRef>
          </c:val>
        </c:ser>
        <c:axId val="9686573"/>
        <c:axId val="20070294"/>
      </c:barChart>
      <c:catAx>
        <c:axId val="968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70294"/>
        <c:crosses val="autoZero"/>
        <c:auto val="1"/>
        <c:lblOffset val="100"/>
        <c:tickLblSkip val="1"/>
        <c:noMultiLvlLbl val="0"/>
      </c:catAx>
      <c:valAx>
        <c:axId val="20070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865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39375"/>
          <c:w val="0.192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jpeg" /><Relationship Id="rId8" Type="http://schemas.openxmlformats.org/officeDocument/2006/relationships/hyperlink" Target="#Indice!B6" /><Relationship Id="rId9" Type="http://schemas.openxmlformats.org/officeDocument/2006/relationships/hyperlink" Target="#Indice!B6" /><Relationship Id="rId10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6</xdr:col>
      <xdr:colOff>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5305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6191250</xdr:colOff>
      <xdr:row>0</xdr:row>
      <xdr:rowOff>152400</xdr:rowOff>
    </xdr:from>
    <xdr:to>
      <xdr:col>1</xdr:col>
      <xdr:colOff>6591300</xdr:colOff>
      <xdr:row>3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5240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6124575</xdr:colOff>
      <xdr:row>3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8100"/>
          <a:ext cx="614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0</xdr:row>
      <xdr:rowOff>114300</xdr:rowOff>
    </xdr:from>
    <xdr:to>
      <xdr:col>3</xdr:col>
      <xdr:colOff>1047750</xdr:colOff>
      <xdr:row>1</xdr:row>
      <xdr:rowOff>200025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14300"/>
          <a:ext cx="3810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3</xdr:col>
      <xdr:colOff>590550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9050"/>
          <a:ext cx="5772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5534025</xdr:colOff>
      <xdr:row>0</xdr:row>
      <xdr:rowOff>114300</xdr:rowOff>
    </xdr:from>
    <xdr:to>
      <xdr:col>1</xdr:col>
      <xdr:colOff>5886450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14300"/>
          <a:ext cx="3524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5467350</xdr:colOff>
      <xdr:row>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38100"/>
          <a:ext cx="5467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114300</xdr:rowOff>
    </xdr:from>
    <xdr:to>
      <xdr:col>6</xdr:col>
      <xdr:colOff>381000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4300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5</xdr:col>
      <xdr:colOff>1466850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9050"/>
          <a:ext cx="526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85725</xdr:rowOff>
    </xdr:from>
    <xdr:to>
      <xdr:col>6</xdr:col>
      <xdr:colOff>390525</xdr:colOff>
      <xdr:row>1</xdr:row>
      <xdr:rowOff>190500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85725"/>
          <a:ext cx="3619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257175</xdr:colOff>
      <xdr:row>2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0"/>
          <a:ext cx="522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28575</xdr:rowOff>
    </xdr:from>
    <xdr:to>
      <xdr:col>4</xdr:col>
      <xdr:colOff>0</xdr:colOff>
      <xdr:row>25</xdr:row>
      <xdr:rowOff>114300</xdr:rowOff>
    </xdr:to>
    <xdr:graphicFrame>
      <xdr:nvGraphicFramePr>
        <xdr:cNvPr id="1" name="2 Gráfico"/>
        <xdr:cNvGraphicFramePr/>
      </xdr:nvGraphicFramePr>
      <xdr:xfrm>
        <a:off x="190500" y="2324100"/>
        <a:ext cx="41148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4</xdr:col>
      <xdr:colOff>0</xdr:colOff>
      <xdr:row>63</xdr:row>
      <xdr:rowOff>152400</xdr:rowOff>
    </xdr:to>
    <xdr:graphicFrame>
      <xdr:nvGraphicFramePr>
        <xdr:cNvPr id="2" name="1 Gráfico"/>
        <xdr:cNvGraphicFramePr/>
      </xdr:nvGraphicFramePr>
      <xdr:xfrm>
        <a:off x="161925" y="8582025"/>
        <a:ext cx="41433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48</xdr:row>
      <xdr:rowOff>9525</xdr:rowOff>
    </xdr:from>
    <xdr:to>
      <xdr:col>7</xdr:col>
      <xdr:colOff>1362075</xdr:colOff>
      <xdr:row>63</xdr:row>
      <xdr:rowOff>152400</xdr:rowOff>
    </xdr:to>
    <xdr:graphicFrame>
      <xdr:nvGraphicFramePr>
        <xdr:cNvPr id="3" name="1 Gráfico"/>
        <xdr:cNvGraphicFramePr/>
      </xdr:nvGraphicFramePr>
      <xdr:xfrm>
        <a:off x="4772025" y="8553450"/>
        <a:ext cx="41243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10</xdr:row>
      <xdr:rowOff>28575</xdr:rowOff>
    </xdr:from>
    <xdr:to>
      <xdr:col>7</xdr:col>
      <xdr:colOff>1371600</xdr:colOff>
      <xdr:row>25</xdr:row>
      <xdr:rowOff>133350</xdr:rowOff>
    </xdr:to>
    <xdr:graphicFrame>
      <xdr:nvGraphicFramePr>
        <xdr:cNvPr id="4" name="2 Gráfico"/>
        <xdr:cNvGraphicFramePr/>
      </xdr:nvGraphicFramePr>
      <xdr:xfrm>
        <a:off x="4810125" y="2324100"/>
        <a:ext cx="40957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28</xdr:row>
      <xdr:rowOff>161925</xdr:rowOff>
    </xdr:from>
    <xdr:to>
      <xdr:col>4</xdr:col>
      <xdr:colOff>9525</xdr:colOff>
      <xdr:row>44</xdr:row>
      <xdr:rowOff>114300</xdr:rowOff>
    </xdr:to>
    <xdr:graphicFrame>
      <xdr:nvGraphicFramePr>
        <xdr:cNvPr id="5" name="1 Gráfico"/>
        <xdr:cNvGraphicFramePr/>
      </xdr:nvGraphicFramePr>
      <xdr:xfrm>
        <a:off x="171450" y="5419725"/>
        <a:ext cx="414337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161925</xdr:rowOff>
    </xdr:from>
    <xdr:to>
      <xdr:col>7</xdr:col>
      <xdr:colOff>1362075</xdr:colOff>
      <xdr:row>44</xdr:row>
      <xdr:rowOff>142875</xdr:rowOff>
    </xdr:to>
    <xdr:graphicFrame>
      <xdr:nvGraphicFramePr>
        <xdr:cNvPr id="6" name="1 Gráfico"/>
        <xdr:cNvGraphicFramePr/>
      </xdr:nvGraphicFramePr>
      <xdr:xfrm>
        <a:off x="4772025" y="5419725"/>
        <a:ext cx="412432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5</xdr:col>
      <xdr:colOff>1133475</xdr:colOff>
      <xdr:row>0</xdr:row>
      <xdr:rowOff>114300</xdr:rowOff>
    </xdr:from>
    <xdr:to>
      <xdr:col>6</xdr:col>
      <xdr:colOff>161925</xdr:colOff>
      <xdr:row>2</xdr:row>
      <xdr:rowOff>76200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5</xdr:col>
      <xdr:colOff>1057275</xdr:colOff>
      <xdr:row>2</xdr:row>
      <xdr:rowOff>104775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38100"/>
          <a:ext cx="5657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21</xdr:row>
      <xdr:rowOff>85725</xdr:rowOff>
    </xdr:from>
    <xdr:to>
      <xdr:col>61</xdr:col>
      <xdr:colOff>9525</xdr:colOff>
      <xdr:row>48</xdr:row>
      <xdr:rowOff>66675</xdr:rowOff>
    </xdr:to>
    <xdr:graphicFrame>
      <xdr:nvGraphicFramePr>
        <xdr:cNvPr id="1" name="7 Gráfico"/>
        <xdr:cNvGraphicFramePr/>
      </xdr:nvGraphicFramePr>
      <xdr:xfrm>
        <a:off x="2371725" y="4086225"/>
        <a:ext cx="121920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171450</xdr:colOff>
      <xdr:row>0</xdr:row>
      <xdr:rowOff>123825</xdr:rowOff>
    </xdr:from>
    <xdr:to>
      <xdr:col>17</xdr:col>
      <xdr:colOff>561975</xdr:colOff>
      <xdr:row>2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123825"/>
          <a:ext cx="3905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17</xdr:col>
      <xdr:colOff>104775</xdr:colOff>
      <xdr:row>2</xdr:row>
      <xdr:rowOff>114300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38100"/>
          <a:ext cx="545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114300</xdr:rowOff>
    </xdr:from>
    <xdr:to>
      <xdr:col>4</xdr:col>
      <xdr:colOff>95250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923925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1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133350</xdr:rowOff>
    </xdr:from>
    <xdr:to>
      <xdr:col>3</xdr:col>
      <xdr:colOff>1057275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3335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609600</xdr:colOff>
      <xdr:row>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8100"/>
          <a:ext cx="564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104775</xdr:rowOff>
    </xdr:from>
    <xdr:to>
      <xdr:col>2</xdr:col>
      <xdr:colOff>1095375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2</xdr:col>
      <xdr:colOff>638175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8575"/>
          <a:ext cx="552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114300</xdr:rowOff>
    </xdr:from>
    <xdr:to>
      <xdr:col>3</xdr:col>
      <xdr:colOff>942975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143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476250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6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Documents%20and%20Settings\wapaza\Escritorio\DSG_HIST_ADEUDADO_A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Walter%20Apaza\CAS\Saldos%20adeudados\2011\3.%20Marzo\Cuadros%20boletin%20deuda%2031.12.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f.gob.pe/DOCUME~1/cmaguina/CONFIG~1/Temp/_Consultor/Consultoria%20DNEP%20Walter/Informes%20Pagos/2009/Informe%2011/Trimestre%20III/BASE%20DEUDA%20SIN%20GARANTIA%2009-2009%20SIN%20C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_Deuda_Empresas_SG_31%2003%202024_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ortada"/>
      <sheetName val="Resumen Gráficos"/>
      <sheetName val="Resumen"/>
      <sheetName val="DEP-C1"/>
      <sheetName val="DEP-C2"/>
      <sheetName val="DEP-C3"/>
      <sheetName val="DEP-C4"/>
      <sheetName val="DEP-C5"/>
      <sheetName val="DEP-C6"/>
      <sheetName val="DEP-C7"/>
      <sheetName val="DEP-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17-1%20FLUJO%20DE%20DEUDA%20AL%2031%2001%202017/Reporte_Deuda_Empesas_SG_31012017.xls#'DEP-C1'!B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tabSelected="1" zoomScale="80" zoomScaleNormal="80" zoomScalePageLayoutView="0" workbookViewId="0" topLeftCell="A1">
      <selection activeCell="B6" sqref="B6:G6"/>
    </sheetView>
  </sheetViews>
  <sheetFormatPr defaultColWidth="11.421875" defaultRowHeight="12.75"/>
  <cols>
    <col min="1" max="1" width="4.28125" style="6" customWidth="1"/>
    <col min="2" max="2" width="11.421875" style="6" customWidth="1"/>
    <col min="3" max="3" width="3.140625" style="6" customWidth="1"/>
    <col min="4" max="4" width="29.57421875" style="6" customWidth="1"/>
    <col min="5" max="5" width="19.7109375" style="6" customWidth="1"/>
    <col min="6" max="6" width="15.7109375" style="6" customWidth="1"/>
    <col min="7" max="7" width="12.8515625" style="6" customWidth="1"/>
    <col min="8" max="16384" width="11.421875" style="6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2:4" s="4" customFormat="1" ht="11.25" customHeight="1">
      <c r="B4" s="128"/>
      <c r="C4" s="128"/>
      <c r="D4" s="216"/>
    </row>
    <row r="5" spans="2:4" s="4" customFormat="1" ht="12.75" customHeight="1">
      <c r="B5" s="128"/>
      <c r="C5" s="128"/>
      <c r="D5" s="128"/>
    </row>
    <row r="6" spans="2:7" s="4" customFormat="1" ht="24.75" customHeight="1">
      <c r="B6" s="549" t="str">
        <f>+Portada!$B$6</f>
        <v>DEUDA DE LAS EMPRESAS PÚBLICAS</v>
      </c>
      <c r="C6" s="549"/>
      <c r="D6" s="549"/>
      <c r="E6" s="549"/>
      <c r="F6" s="549"/>
      <c r="G6" s="549"/>
    </row>
    <row r="7" spans="2:7" s="4" customFormat="1" ht="24.75" customHeight="1">
      <c r="B7" s="550" t="s">
        <v>259</v>
      </c>
      <c r="C7" s="550"/>
      <c r="D7" s="550"/>
      <c r="E7" s="550"/>
      <c r="F7" s="550"/>
      <c r="G7" s="550"/>
    </row>
    <row r="8" spans="2:5" s="4" customFormat="1" ht="15.75" customHeight="1">
      <c r="B8" s="242"/>
      <c r="C8" s="242"/>
      <c r="D8" s="478"/>
      <c r="E8" s="128"/>
    </row>
    <row r="9" spans="2:5" ht="19.5" customHeight="1">
      <c r="B9" s="84"/>
      <c r="C9" s="84"/>
      <c r="D9" s="393" t="s">
        <v>65</v>
      </c>
      <c r="E9" s="84"/>
    </row>
    <row r="10" spans="2:5" s="7" customFormat="1" ht="19.5" customHeight="1">
      <c r="B10" s="180"/>
      <c r="C10" s="180"/>
      <c r="D10" s="393" t="s">
        <v>170</v>
      </c>
      <c r="E10" s="71"/>
    </row>
    <row r="11" spans="2:5" s="7" customFormat="1" ht="19.5" customHeight="1">
      <c r="B11" s="181"/>
      <c r="C11" s="180"/>
      <c r="D11" s="393" t="s">
        <v>171</v>
      </c>
      <c r="E11" s="71"/>
    </row>
    <row r="12" spans="2:5" s="7" customFormat="1" ht="9.75" customHeight="1">
      <c r="B12" s="181"/>
      <c r="C12" s="180"/>
      <c r="D12" s="307"/>
      <c r="E12" s="71"/>
    </row>
    <row r="13" spans="2:8" s="7" customFormat="1" ht="19.5" customHeight="1">
      <c r="B13" s="180" t="s">
        <v>11</v>
      </c>
      <c r="C13" s="180" t="s">
        <v>8</v>
      </c>
      <c r="D13" s="548" t="s">
        <v>209</v>
      </c>
      <c r="E13" s="548"/>
      <c r="F13" s="548"/>
      <c r="G13" s="548"/>
      <c r="H13" s="548"/>
    </row>
    <row r="14" spans="2:6" s="7" customFormat="1" ht="19.5" customHeight="1">
      <c r="B14" s="180" t="s">
        <v>12</v>
      </c>
      <c r="C14" s="180" t="s">
        <v>8</v>
      </c>
      <c r="D14" s="548" t="s">
        <v>150</v>
      </c>
      <c r="E14" s="548"/>
      <c r="F14" s="548"/>
    </row>
    <row r="15" spans="2:6" s="7" customFormat="1" ht="19.5" customHeight="1">
      <c r="B15" s="180" t="s">
        <v>13</v>
      </c>
      <c r="C15" s="180" t="s">
        <v>8</v>
      </c>
      <c r="D15" s="551" t="s">
        <v>37</v>
      </c>
      <c r="E15" s="551"/>
      <c r="F15" s="551"/>
    </row>
    <row r="16" spans="2:6" s="7" customFormat="1" ht="19.5" customHeight="1">
      <c r="B16" s="180" t="s">
        <v>14</v>
      </c>
      <c r="C16" s="180" t="s">
        <v>8</v>
      </c>
      <c r="D16" s="551" t="s">
        <v>32</v>
      </c>
      <c r="E16" s="551"/>
      <c r="F16" s="551"/>
    </row>
    <row r="17" spans="2:6" s="7" customFormat="1" ht="19.5" customHeight="1">
      <c r="B17" s="180" t="s">
        <v>89</v>
      </c>
      <c r="C17" s="180" t="s">
        <v>8</v>
      </c>
      <c r="D17" s="551" t="s">
        <v>1</v>
      </c>
      <c r="E17" s="551"/>
      <c r="F17" s="551"/>
    </row>
    <row r="18" spans="2:6" s="7" customFormat="1" ht="19.5" customHeight="1">
      <c r="B18" s="180" t="s">
        <v>59</v>
      </c>
      <c r="C18" s="180" t="s">
        <v>8</v>
      </c>
      <c r="D18" s="551" t="s">
        <v>57</v>
      </c>
      <c r="E18" s="551"/>
      <c r="F18" s="551"/>
    </row>
    <row r="19" spans="2:6" s="7" customFormat="1" ht="19.5" customHeight="1">
      <c r="B19" s="180" t="s">
        <v>15</v>
      </c>
      <c r="C19" s="180" t="s">
        <v>8</v>
      </c>
      <c r="D19" s="551" t="s">
        <v>103</v>
      </c>
      <c r="E19" s="551"/>
      <c r="F19" s="551"/>
    </row>
    <row r="20" spans="2:6" s="7" customFormat="1" ht="19.5" customHeight="1">
      <c r="B20" s="180" t="s">
        <v>16</v>
      </c>
      <c r="C20" s="180" t="s">
        <v>8</v>
      </c>
      <c r="D20" s="551" t="s">
        <v>58</v>
      </c>
      <c r="E20" s="551"/>
      <c r="F20" s="551"/>
    </row>
    <row r="21" spans="2:5" ht="15">
      <c r="B21" s="84"/>
      <c r="C21" s="84"/>
      <c r="D21" s="182"/>
      <c r="E21" s="84"/>
    </row>
    <row r="22" spans="2:5" ht="12.75">
      <c r="B22" s="84"/>
      <c r="C22" s="84"/>
      <c r="D22" s="183"/>
      <c r="E22" s="84"/>
    </row>
    <row r="23" spans="2:5" ht="12.75">
      <c r="B23" s="84"/>
      <c r="C23" s="84"/>
      <c r="D23" s="183"/>
      <c r="E23" s="84"/>
    </row>
  </sheetData>
  <sheetProtection/>
  <mergeCells count="10">
    <mergeCell ref="D13:H13"/>
    <mergeCell ref="B6:G6"/>
    <mergeCell ref="B7:G7"/>
    <mergeCell ref="D20:F20"/>
    <mergeCell ref="D19:F19"/>
    <mergeCell ref="D18:F18"/>
    <mergeCell ref="D17:F17"/>
    <mergeCell ref="D16:F16"/>
    <mergeCell ref="D15:F15"/>
    <mergeCell ref="D14:F14"/>
  </mergeCells>
  <hyperlinks>
    <hyperlink ref="D10" location="Resumen!B5" display="CUADROS RESUMEN"/>
    <hyperlink ref="D11" location="'Resumen Gráficos'!B5" display="RESUM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Portada!B6" display="PORTADA"/>
    <hyperlink ref="D19" location="'Grupo Acreedor'!A1" display="POR GRUPO DEL ACREEDOR"/>
    <hyperlink ref="D14:F14" location="'DEP-C2'!B5" display="POR TIPO DE DEUDA Y TIPO DE EMPRESA"/>
    <hyperlink ref="D16:F16" location="'DEP-C4'!B5" display="POR TIPO DE EMPRESA Y ACREEDOR"/>
    <hyperlink ref="D15:F15" location="'DEP-C3'!B5" display="POR TIPO DE MONEDA"/>
    <hyperlink ref="D17:F17" location="'DEP-C5'!B5" display="POR GRUPO EMPRESARIAL DEL DEUDOR"/>
    <hyperlink ref="D18:F18" location="'DEP-C6'!B5" display="POR GRUPO EMPRESARIAL Y ENTIDAD DEUDORA"/>
    <hyperlink ref="D19:F19" location="'DEP-C7'!B5" display="POR TIPO DE EMPRESA Y GRUPO DEL ACREEDOR "/>
    <hyperlink ref="D13:F13" r:id="rId1" display="EVOLUCIÓN DE LA DEUDA DE LAS EMPRESAS PÚBLICAS"/>
    <hyperlink ref="D13:H13" location="'DEP-C1'!B5" display="EVOLUCIÓN DE LA DEUDA DE LAS EMPRESAS PÚBLICAS - POR TIPO DE DEUDA"/>
    <hyperlink ref="D20:F20" location="'DEP-C8'!B5" display="POR TIPO DE CONCERTACIÓN Y TIPO DE EMPRESA"/>
  </hyperlink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86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8515625" style="85" customWidth="1"/>
    <col min="2" max="2" width="106.8515625" style="85" bestFit="1" customWidth="1"/>
    <col min="3" max="3" width="18.57421875" style="85" customWidth="1"/>
    <col min="4" max="5" width="20.7109375" style="85" customWidth="1"/>
    <col min="6" max="6" width="11.421875" style="84" customWidth="1"/>
    <col min="7" max="16384" width="11.421875" style="85" customWidth="1"/>
  </cols>
  <sheetData>
    <row r="1" spans="2:3" ht="12.75">
      <c r="B1" s="101"/>
      <c r="C1" s="101"/>
    </row>
    <row r="2" spans="2:3" ht="12.75">
      <c r="B2" s="101"/>
      <c r="C2" s="101"/>
    </row>
    <row r="3" spans="2:3" ht="12.75">
      <c r="B3" s="101"/>
      <c r="C3" s="101"/>
    </row>
    <row r="4" spans="2:3" ht="24.75" customHeight="1">
      <c r="B4" s="101"/>
      <c r="C4" s="101"/>
    </row>
    <row r="5" spans="2:5" ht="18">
      <c r="B5" s="127" t="s">
        <v>59</v>
      </c>
      <c r="C5" s="127"/>
      <c r="D5" s="127"/>
      <c r="E5" s="127"/>
    </row>
    <row r="6" spans="2:6" s="87" customFormat="1" ht="18.75">
      <c r="B6" s="309" t="s">
        <v>133</v>
      </c>
      <c r="C6" s="309"/>
      <c r="D6" s="309"/>
      <c r="E6" s="309"/>
      <c r="F6" s="86"/>
    </row>
    <row r="7" spans="2:6" s="87" customFormat="1" ht="18.75">
      <c r="B7" s="309" t="s">
        <v>132</v>
      </c>
      <c r="C7" s="309"/>
      <c r="D7" s="309"/>
      <c r="E7" s="256"/>
      <c r="F7" s="86"/>
    </row>
    <row r="8" spans="2:6" s="87" customFormat="1" ht="18.75">
      <c r="B8" s="333" t="s">
        <v>57</v>
      </c>
      <c r="C8" s="353"/>
      <c r="D8" s="353"/>
      <c r="E8" s="353"/>
      <c r="F8" s="86"/>
    </row>
    <row r="9" spans="2:6" s="87" customFormat="1" ht="18.75">
      <c r="B9" s="131" t="str">
        <f>+'DEP-C2'!B9</f>
        <v>Al 31 de marzo de 2024</v>
      </c>
      <c r="C9" s="354"/>
      <c r="D9" s="261"/>
      <c r="E9" s="261"/>
      <c r="F9" s="308">
        <f>+Portada!H39</f>
        <v>3.721</v>
      </c>
    </row>
    <row r="10" spans="2:5" ht="9.75" customHeight="1">
      <c r="B10" s="627"/>
      <c r="C10" s="627"/>
      <c r="D10" s="627"/>
      <c r="E10" s="627"/>
    </row>
    <row r="11" spans="2:5" ht="18" customHeight="1">
      <c r="B11" s="625" t="s">
        <v>94</v>
      </c>
      <c r="C11" s="625" t="s">
        <v>26</v>
      </c>
      <c r="D11" s="636" t="s">
        <v>85</v>
      </c>
      <c r="E11" s="637" t="s">
        <v>161</v>
      </c>
    </row>
    <row r="12" spans="2:6" s="80" customFormat="1" ht="18" customHeight="1">
      <c r="B12" s="626"/>
      <c r="C12" s="626"/>
      <c r="D12" s="620"/>
      <c r="E12" s="638"/>
      <c r="F12" s="88"/>
    </row>
    <row r="13" spans="2:6" s="80" customFormat="1" ht="9.75" customHeight="1">
      <c r="B13" s="108"/>
      <c r="C13" s="259"/>
      <c r="D13" s="92"/>
      <c r="E13" s="262"/>
      <c r="F13" s="88"/>
    </row>
    <row r="14" spans="2:6" s="65" customFormat="1" ht="16.5" customHeight="1">
      <c r="B14" s="359" t="s">
        <v>210</v>
      </c>
      <c r="C14" s="522"/>
      <c r="D14" s="542">
        <f>SUM(D15:D30)</f>
        <v>4501337.914699999</v>
      </c>
      <c r="E14" s="368">
        <f>SUM(E15:E30)</f>
        <v>16749478.380598707</v>
      </c>
      <c r="F14" s="71"/>
    </row>
    <row r="15" spans="2:6" s="65" customFormat="1" ht="16.5" customHeight="1">
      <c r="B15" s="91" t="s">
        <v>166</v>
      </c>
      <c r="C15" s="528" t="s">
        <v>90</v>
      </c>
      <c r="D15" s="541">
        <v>2129934.17172</v>
      </c>
      <c r="E15" s="369">
        <f aca="true" t="shared" si="0" ref="E15:E30">ROUND(D15*$F$9,8)</f>
        <v>7925485.05297012</v>
      </c>
      <c r="F15" s="71"/>
    </row>
    <row r="16" spans="2:6" s="65" customFormat="1" ht="16.5" customHeight="1">
      <c r="B16" s="91" t="s">
        <v>204</v>
      </c>
      <c r="C16" s="528" t="s">
        <v>90</v>
      </c>
      <c r="D16" s="541">
        <v>1870959.9575500016</v>
      </c>
      <c r="E16" s="369">
        <f t="shared" si="0"/>
        <v>6961842.00204356</v>
      </c>
      <c r="F16" s="71"/>
    </row>
    <row r="17" spans="2:6" s="65" customFormat="1" ht="16.5" customHeight="1">
      <c r="B17" s="91" t="s">
        <v>202</v>
      </c>
      <c r="C17" s="528" t="s">
        <v>91</v>
      </c>
      <c r="D17" s="541">
        <v>377400.97779999994</v>
      </c>
      <c r="E17" s="369">
        <f t="shared" si="0"/>
        <v>1404309.0383938</v>
      </c>
      <c r="F17" s="71"/>
    </row>
    <row r="18" spans="2:6" s="65" customFormat="1" ht="16.5" customHeight="1">
      <c r="B18" s="91" t="s">
        <v>167</v>
      </c>
      <c r="C18" s="528" t="s">
        <v>91</v>
      </c>
      <c r="D18" s="541">
        <v>27129.803819999997</v>
      </c>
      <c r="E18" s="369">
        <f t="shared" si="0"/>
        <v>100950.00001422</v>
      </c>
      <c r="F18" s="71"/>
    </row>
    <row r="19" spans="2:6" s="65" customFormat="1" ht="16.5" customHeight="1">
      <c r="B19" s="91" t="s">
        <v>190</v>
      </c>
      <c r="C19" s="528" t="s">
        <v>91</v>
      </c>
      <c r="D19" s="541">
        <v>25828.28652</v>
      </c>
      <c r="E19" s="369">
        <f t="shared" si="0"/>
        <v>96107.05414092</v>
      </c>
      <c r="F19" s="71"/>
    </row>
    <row r="20" spans="2:6" s="65" customFormat="1" ht="16.5" customHeight="1">
      <c r="B20" s="91" t="s">
        <v>189</v>
      </c>
      <c r="C20" s="528" t="s">
        <v>91</v>
      </c>
      <c r="D20" s="541">
        <v>17283.27669</v>
      </c>
      <c r="E20" s="369">
        <f t="shared" si="0"/>
        <v>64311.07256349</v>
      </c>
      <c r="F20" s="71"/>
    </row>
    <row r="21" spans="2:6" s="65" customFormat="1" ht="16.5" customHeight="1">
      <c r="B21" s="91" t="s">
        <v>244</v>
      </c>
      <c r="C21" s="528" t="s">
        <v>91</v>
      </c>
      <c r="D21" s="541">
        <v>15452.835259999998</v>
      </c>
      <c r="E21" s="369">
        <f t="shared" si="0"/>
        <v>57500.00000246</v>
      </c>
      <c r="F21" s="71"/>
    </row>
    <row r="22" spans="2:6" s="65" customFormat="1" ht="16.5" customHeight="1">
      <c r="B22" s="91" t="s">
        <v>165</v>
      </c>
      <c r="C22" s="528" t="s">
        <v>91</v>
      </c>
      <c r="D22" s="541">
        <v>12150.516910000002</v>
      </c>
      <c r="E22" s="369">
        <f t="shared" si="0"/>
        <v>45212.07342211</v>
      </c>
      <c r="F22" s="71"/>
    </row>
    <row r="23" spans="2:6" s="65" customFormat="1" ht="16.5" customHeight="1">
      <c r="B23" s="91" t="s">
        <v>122</v>
      </c>
      <c r="C23" s="528" t="s">
        <v>90</v>
      </c>
      <c r="D23" s="541">
        <v>10135.524280000001</v>
      </c>
      <c r="E23" s="369">
        <f t="shared" si="0"/>
        <v>37714.28584588</v>
      </c>
      <c r="F23" s="71"/>
    </row>
    <row r="24" spans="2:6" s="65" customFormat="1" ht="16.5" customHeight="1">
      <c r="B24" s="91" t="s">
        <v>164</v>
      </c>
      <c r="C24" s="528" t="s">
        <v>91</v>
      </c>
      <c r="D24" s="541">
        <v>7432.27975</v>
      </c>
      <c r="E24" s="369">
        <f t="shared" si="0"/>
        <v>27655.51294975</v>
      </c>
      <c r="F24" s="71"/>
    </row>
    <row r="25" spans="2:6" s="65" customFormat="1" ht="16.5" customHeight="1">
      <c r="B25" s="91" t="s">
        <v>240</v>
      </c>
      <c r="C25" s="528" t="s">
        <v>91</v>
      </c>
      <c r="D25" s="541">
        <v>4031.17442</v>
      </c>
      <c r="E25" s="369">
        <f t="shared" si="0"/>
        <v>15000.00001682</v>
      </c>
      <c r="F25" s="71"/>
    </row>
    <row r="26" spans="2:6" s="65" customFormat="1" ht="16.5" customHeight="1">
      <c r="B26" s="91" t="s">
        <v>228</v>
      </c>
      <c r="C26" s="528" t="s">
        <v>91</v>
      </c>
      <c r="D26" s="541">
        <v>2574.83269</v>
      </c>
      <c r="E26" s="369">
        <f t="shared" si="0"/>
        <v>9580.95243949</v>
      </c>
      <c r="F26" s="71"/>
    </row>
    <row r="27" spans="2:6" s="65" customFormat="1" ht="16.5" customHeight="1" hidden="1">
      <c r="B27" s="91" t="str">
        <f>$B$70</f>
        <v>Sociedad Electrica del Sur Oeste</v>
      </c>
      <c r="C27" s="528" t="s">
        <v>91</v>
      </c>
      <c r="D27" s="541"/>
      <c r="E27" s="369">
        <f t="shared" si="0"/>
        <v>0</v>
      </c>
      <c r="F27" s="71"/>
    </row>
    <row r="28" spans="2:6" s="65" customFormat="1" ht="16.5" customHeight="1" hidden="1">
      <c r="B28" s="91" t="s">
        <v>188</v>
      </c>
      <c r="C28" s="528" t="s">
        <v>91</v>
      </c>
      <c r="D28" s="541"/>
      <c r="E28" s="369">
        <f t="shared" si="0"/>
        <v>0</v>
      </c>
      <c r="F28" s="71"/>
    </row>
    <row r="29" spans="2:6" s="65" customFormat="1" ht="16.5" customHeight="1">
      <c r="B29" s="66" t="s">
        <v>155</v>
      </c>
      <c r="C29" s="528" t="s">
        <v>91</v>
      </c>
      <c r="D29" s="541">
        <v>486.78737</v>
      </c>
      <c r="E29" s="369">
        <f t="shared" si="0"/>
        <v>1811.33580377</v>
      </c>
      <c r="F29" s="71"/>
    </row>
    <row r="30" spans="2:6" s="65" customFormat="1" ht="16.5" customHeight="1">
      <c r="B30" s="91" t="s">
        <v>236</v>
      </c>
      <c r="C30" s="528" t="s">
        <v>91</v>
      </c>
      <c r="D30" s="541">
        <v>537.4899200000001</v>
      </c>
      <c r="E30" s="369">
        <f t="shared" si="0"/>
        <v>1999.99999232</v>
      </c>
      <c r="F30" s="71"/>
    </row>
    <row r="31" spans="2:6" s="65" customFormat="1" ht="12" customHeight="1">
      <c r="B31" s="91"/>
      <c r="C31" s="524"/>
      <c r="D31" s="543"/>
      <c r="E31" s="369"/>
      <c r="F31" s="71"/>
    </row>
    <row r="32" spans="2:7" s="65" customFormat="1" ht="16.5" customHeight="1">
      <c r="B32" s="359" t="s">
        <v>113</v>
      </c>
      <c r="C32" s="522"/>
      <c r="D32" s="542">
        <f>SUM(D33:D44)</f>
        <v>52992.416410000005</v>
      </c>
      <c r="E32" s="368">
        <f>SUM(E33:E44)</f>
        <v>197184.78146161002</v>
      </c>
      <c r="F32" s="89"/>
      <c r="G32" s="89"/>
    </row>
    <row r="33" spans="2:9" s="90" customFormat="1" ht="16.5" customHeight="1">
      <c r="B33" s="91" t="s">
        <v>193</v>
      </c>
      <c r="C33" s="528" t="s">
        <v>91</v>
      </c>
      <c r="D33" s="541">
        <v>30477.896220000002</v>
      </c>
      <c r="E33" s="369">
        <f aca="true" t="shared" si="1" ref="E33:E44">ROUND(D33*$F$9,8)</f>
        <v>113408.25183462</v>
      </c>
      <c r="F33" s="89"/>
      <c r="G33" s="89"/>
      <c r="H33" s="65"/>
      <c r="I33" s="65"/>
    </row>
    <row r="34" spans="2:9" s="90" customFormat="1" ht="16.5" customHeight="1">
      <c r="B34" s="91" t="s">
        <v>201</v>
      </c>
      <c r="C34" s="528" t="s">
        <v>91</v>
      </c>
      <c r="D34" s="541">
        <v>5089.83949</v>
      </c>
      <c r="E34" s="369">
        <f t="shared" si="1"/>
        <v>18939.29274229</v>
      </c>
      <c r="F34" s="89"/>
      <c r="G34" s="89"/>
      <c r="H34" s="65"/>
      <c r="I34" s="65"/>
    </row>
    <row r="35" spans="2:9" s="90" customFormat="1" ht="16.5" customHeight="1">
      <c r="B35" s="91" t="s">
        <v>191</v>
      </c>
      <c r="C35" s="528" t="s">
        <v>91</v>
      </c>
      <c r="D35" s="541">
        <v>4452.55047</v>
      </c>
      <c r="E35" s="369">
        <f t="shared" si="1"/>
        <v>16567.94029887</v>
      </c>
      <c r="F35" s="89"/>
      <c r="G35" s="89"/>
      <c r="H35" s="65"/>
      <c r="I35" s="65"/>
    </row>
    <row r="36" spans="2:9" s="90" customFormat="1" ht="16.5" customHeight="1">
      <c r="B36" s="66" t="s">
        <v>67</v>
      </c>
      <c r="C36" s="528" t="s">
        <v>91</v>
      </c>
      <c r="D36" s="541">
        <v>2683.3102</v>
      </c>
      <c r="E36" s="369">
        <f t="shared" si="1"/>
        <v>9984.5972542</v>
      </c>
      <c r="F36" s="89"/>
      <c r="G36" s="89"/>
      <c r="H36" s="65"/>
      <c r="I36" s="65"/>
    </row>
    <row r="37" spans="2:9" s="90" customFormat="1" ht="16.5" customHeight="1">
      <c r="B37" s="66" t="s">
        <v>199</v>
      </c>
      <c r="C37" s="528" t="s">
        <v>91</v>
      </c>
      <c r="D37" s="541">
        <v>2412.61758</v>
      </c>
      <c r="E37" s="369">
        <f t="shared" si="1"/>
        <v>8977.35001518</v>
      </c>
      <c r="F37" s="89"/>
      <c r="G37" s="89"/>
      <c r="H37" s="65"/>
      <c r="I37" s="65"/>
    </row>
    <row r="38" spans="2:9" s="90" customFormat="1" ht="16.5" customHeight="1">
      <c r="B38" s="91" t="s">
        <v>192</v>
      </c>
      <c r="C38" s="528" t="s">
        <v>91</v>
      </c>
      <c r="D38" s="541">
        <v>2361.45377</v>
      </c>
      <c r="E38" s="369">
        <f t="shared" si="1"/>
        <v>8786.96947817</v>
      </c>
      <c r="F38" s="89"/>
      <c r="G38" s="89"/>
      <c r="H38" s="65"/>
      <c r="I38" s="65"/>
    </row>
    <row r="39" spans="2:9" s="90" customFormat="1" ht="16.5" customHeight="1">
      <c r="B39" s="66" t="s">
        <v>48</v>
      </c>
      <c r="C39" s="528" t="s">
        <v>91</v>
      </c>
      <c r="D39" s="541">
        <v>2018.8435200000001</v>
      </c>
      <c r="E39" s="369">
        <f t="shared" si="1"/>
        <v>7512.11673792</v>
      </c>
      <c r="F39" s="89"/>
      <c r="G39" s="89"/>
      <c r="H39" s="65"/>
      <c r="I39" s="65"/>
    </row>
    <row r="40" spans="2:9" s="90" customFormat="1" ht="16.5" customHeight="1">
      <c r="B40" s="66" t="s">
        <v>43</v>
      </c>
      <c r="C40" s="528" t="s">
        <v>91</v>
      </c>
      <c r="D40" s="541">
        <v>1593.81289</v>
      </c>
      <c r="E40" s="369">
        <f t="shared" si="1"/>
        <v>5930.57776369</v>
      </c>
      <c r="F40" s="89"/>
      <c r="G40" s="89"/>
      <c r="H40" s="65"/>
      <c r="I40" s="65"/>
    </row>
    <row r="41" spans="2:9" s="90" customFormat="1" ht="16.5" customHeight="1">
      <c r="B41" s="66" t="s">
        <v>50</v>
      </c>
      <c r="C41" s="528" t="s">
        <v>91</v>
      </c>
      <c r="D41" s="541">
        <v>1102.59622</v>
      </c>
      <c r="E41" s="369">
        <f t="shared" si="1"/>
        <v>4102.76053462</v>
      </c>
      <c r="F41" s="89"/>
      <c r="G41" s="89"/>
      <c r="H41" s="65"/>
      <c r="I41" s="65"/>
    </row>
    <row r="42" spans="2:9" s="90" customFormat="1" ht="16.5" customHeight="1">
      <c r="B42" s="66" t="s">
        <v>200</v>
      </c>
      <c r="C42" s="528" t="s">
        <v>91</v>
      </c>
      <c r="D42" s="541">
        <v>414.4734</v>
      </c>
      <c r="E42" s="369">
        <f t="shared" si="1"/>
        <v>1542.2555214</v>
      </c>
      <c r="F42" s="89"/>
      <c r="G42" s="89"/>
      <c r="H42" s="65"/>
      <c r="I42" s="65"/>
    </row>
    <row r="43" spans="2:9" s="90" customFormat="1" ht="16.5" customHeight="1">
      <c r="B43" s="66" t="s">
        <v>221</v>
      </c>
      <c r="C43" s="528" t="s">
        <v>91</v>
      </c>
      <c r="D43" s="541">
        <v>384.04331</v>
      </c>
      <c r="E43" s="369">
        <f t="shared" si="1"/>
        <v>1429.02515651</v>
      </c>
      <c r="F43" s="89"/>
      <c r="G43" s="89"/>
      <c r="H43" s="65"/>
      <c r="I43" s="65"/>
    </row>
    <row r="44" spans="2:9" s="90" customFormat="1" ht="16.5" customHeight="1">
      <c r="B44" s="66" t="s">
        <v>42</v>
      </c>
      <c r="C44" s="528" t="s">
        <v>91</v>
      </c>
      <c r="D44" s="541">
        <v>0.97934</v>
      </c>
      <c r="E44" s="369">
        <f t="shared" si="1"/>
        <v>3.64412414</v>
      </c>
      <c r="F44" s="89"/>
      <c r="G44" s="89"/>
      <c r="H44" s="65"/>
      <c r="I44" s="65"/>
    </row>
    <row r="45" spans="2:7" s="65" customFormat="1" ht="12" customHeight="1">
      <c r="B45" s="91"/>
      <c r="C45" s="524"/>
      <c r="D45" s="543"/>
      <c r="E45" s="369"/>
      <c r="F45" s="89"/>
      <c r="G45" s="89"/>
    </row>
    <row r="46" spans="2:9" s="90" customFormat="1" ht="16.5" customHeight="1">
      <c r="B46" s="359" t="s">
        <v>84</v>
      </c>
      <c r="C46" s="522"/>
      <c r="D46" s="502">
        <f>+D47</f>
        <v>4011111.11108</v>
      </c>
      <c r="E46" s="520">
        <f>+E47</f>
        <v>14925344.4443287</v>
      </c>
      <c r="F46" s="89"/>
      <c r="G46" s="89"/>
      <c r="H46" s="65"/>
      <c r="I46" s="65"/>
    </row>
    <row r="47" spans="2:9" s="90" customFormat="1" ht="16.5" customHeight="1">
      <c r="B47" s="91" t="s">
        <v>194</v>
      </c>
      <c r="C47" s="524" t="s">
        <v>91</v>
      </c>
      <c r="D47" s="516">
        <v>4011111.11108</v>
      </c>
      <c r="E47" s="452">
        <f>ROUND(D47*$F$9,8)</f>
        <v>14925344.4443287</v>
      </c>
      <c r="F47" s="89"/>
      <c r="G47" s="89"/>
      <c r="H47" s="65"/>
      <c r="I47" s="65"/>
    </row>
    <row r="48" spans="2:7" s="65" customFormat="1" ht="9.75" customHeight="1">
      <c r="B48" s="82"/>
      <c r="C48" s="83"/>
      <c r="D48" s="456"/>
      <c r="E48" s="455"/>
      <c r="F48" s="89"/>
      <c r="G48" s="429"/>
    </row>
    <row r="49" spans="2:9" s="80" customFormat="1" ht="15" customHeight="1">
      <c r="B49" s="622" t="s">
        <v>60</v>
      </c>
      <c r="C49" s="639"/>
      <c r="D49" s="641">
        <f>+D32+D14+D46</f>
        <v>8565441.442189999</v>
      </c>
      <c r="E49" s="617">
        <f>+E32+E14+E46</f>
        <v>31872007.606389016</v>
      </c>
      <c r="F49" s="89"/>
      <c r="G49" s="429"/>
      <c r="H49" s="65"/>
      <c r="I49" s="65"/>
    </row>
    <row r="50" spans="2:9" s="80" customFormat="1" ht="15" customHeight="1">
      <c r="B50" s="623"/>
      <c r="C50" s="640"/>
      <c r="D50" s="642"/>
      <c r="E50" s="618"/>
      <c r="F50" s="89"/>
      <c r="G50" s="429"/>
      <c r="H50" s="65"/>
      <c r="I50" s="65"/>
    </row>
    <row r="51" spans="2:9" ht="15">
      <c r="B51" s="138"/>
      <c r="C51" s="138"/>
      <c r="D51" s="490"/>
      <c r="E51" s="490"/>
      <c r="F51" s="89"/>
      <c r="G51" s="429"/>
      <c r="H51" s="65"/>
      <c r="I51" s="65"/>
    </row>
    <row r="52" spans="2:9" ht="15">
      <c r="B52" s="138"/>
      <c r="C52" s="138"/>
      <c r="D52" s="438"/>
      <c r="E52" s="407"/>
      <c r="F52" s="89"/>
      <c r="G52" s="429"/>
      <c r="H52" s="65"/>
      <c r="I52" s="65"/>
    </row>
    <row r="53" spans="2:9" ht="15">
      <c r="B53" s="138"/>
      <c r="C53" s="138"/>
      <c r="D53" s="408"/>
      <c r="E53" s="409"/>
      <c r="F53" s="89"/>
      <c r="G53" s="429"/>
      <c r="H53" s="65"/>
      <c r="I53" s="65"/>
    </row>
    <row r="54" spans="2:9" ht="15">
      <c r="B54" s="138"/>
      <c r="C54" s="409"/>
      <c r="D54" s="408"/>
      <c r="E54" s="409"/>
      <c r="F54" s="89"/>
      <c r="G54" s="429"/>
      <c r="H54" s="65"/>
      <c r="I54" s="65"/>
    </row>
    <row r="55" spans="2:9" ht="15">
      <c r="B55" s="138"/>
      <c r="C55" s="138"/>
      <c r="D55" s="410"/>
      <c r="E55" s="410"/>
      <c r="F55" s="89"/>
      <c r="G55" s="65"/>
      <c r="H55" s="65"/>
      <c r="I55" s="65"/>
    </row>
    <row r="56" spans="2:7" ht="18">
      <c r="B56" s="355" t="s">
        <v>118</v>
      </c>
      <c r="C56" s="355"/>
      <c r="D56" s="355"/>
      <c r="E56" s="355"/>
      <c r="F56" s="406"/>
      <c r="G56" s="429"/>
    </row>
    <row r="57" spans="2:7" s="87" customFormat="1" ht="18.75">
      <c r="B57" s="356" t="s">
        <v>133</v>
      </c>
      <c r="C57" s="356"/>
      <c r="D57" s="356"/>
      <c r="E57" s="356"/>
      <c r="F57" s="406"/>
      <c r="G57" s="429"/>
    </row>
    <row r="58" spans="2:7" s="87" customFormat="1" ht="18.75">
      <c r="B58" s="356" t="s">
        <v>134</v>
      </c>
      <c r="C58" s="356"/>
      <c r="D58" s="356"/>
      <c r="E58" s="251"/>
      <c r="F58" s="406"/>
      <c r="G58" s="65"/>
    </row>
    <row r="59" spans="2:7" s="87" customFormat="1" ht="18.75">
      <c r="B59" s="358" t="s">
        <v>57</v>
      </c>
      <c r="C59" s="357"/>
      <c r="D59" s="357"/>
      <c r="E59" s="357"/>
      <c r="F59" s="406"/>
      <c r="G59" s="65"/>
    </row>
    <row r="60" spans="2:7" s="87" customFormat="1" ht="18.75">
      <c r="B60" s="131" t="str">
        <f>+B9</f>
        <v>Al 31 de marzo de 2024</v>
      </c>
      <c r="C60" s="354"/>
      <c r="D60" s="250"/>
      <c r="E60" s="250"/>
      <c r="F60" s="406"/>
      <c r="G60" s="65"/>
    </row>
    <row r="61" spans="2:7" ht="6" customHeight="1">
      <c r="B61" s="643"/>
      <c r="C61" s="643"/>
      <c r="D61" s="643"/>
      <c r="E61" s="643"/>
      <c r="F61" s="406"/>
      <c r="G61" s="65"/>
    </row>
    <row r="62" spans="2:5" ht="18" customHeight="1">
      <c r="B62" s="625" t="s">
        <v>94</v>
      </c>
      <c r="C62" s="625" t="s">
        <v>26</v>
      </c>
      <c r="D62" s="636" t="s">
        <v>85</v>
      </c>
      <c r="E62" s="637" t="s">
        <v>161</v>
      </c>
    </row>
    <row r="63" spans="2:6" s="80" customFormat="1" ht="18" customHeight="1">
      <c r="B63" s="626"/>
      <c r="C63" s="626"/>
      <c r="D63" s="620"/>
      <c r="E63" s="638"/>
      <c r="F63" s="88"/>
    </row>
    <row r="64" spans="2:6" s="80" customFormat="1" ht="9.75" customHeight="1">
      <c r="B64" s="108"/>
      <c r="C64" s="249"/>
      <c r="D64" s="498"/>
      <c r="E64" s="137"/>
      <c r="F64" s="88"/>
    </row>
    <row r="65" spans="2:7" s="65" customFormat="1" ht="16.5" customHeight="1">
      <c r="B65" s="359" t="s">
        <v>83</v>
      </c>
      <c r="C65" s="359"/>
      <c r="D65" s="544">
        <f>SUM(D66:D75)</f>
        <v>406204.76855999994</v>
      </c>
      <c r="E65" s="453">
        <f>SUM(E66:E75)</f>
        <v>1511487.9438117603</v>
      </c>
      <c r="F65" s="71"/>
      <c r="G65" s="71"/>
    </row>
    <row r="66" spans="2:7" s="65" customFormat="1" ht="16.5" customHeight="1">
      <c r="B66" s="91" t="s">
        <v>166</v>
      </c>
      <c r="C66" s="528" t="s">
        <v>90</v>
      </c>
      <c r="D66" s="667">
        <v>103466.81</v>
      </c>
      <c r="E66" s="452">
        <f aca="true" t="shared" si="2" ref="E66:E75">ROUND(D66*$F$9,8)</f>
        <v>385000.00001</v>
      </c>
      <c r="F66" s="71"/>
      <c r="G66" s="71"/>
    </row>
    <row r="67" spans="2:7" s="65" customFormat="1" ht="16.5" customHeight="1">
      <c r="B67" s="91" t="s">
        <v>190</v>
      </c>
      <c r="C67" s="528" t="s">
        <v>91</v>
      </c>
      <c r="D67" s="667">
        <v>83122.48791000001</v>
      </c>
      <c r="E67" s="452">
        <f t="shared" si="2"/>
        <v>309298.77751311</v>
      </c>
      <c r="F67" s="71"/>
      <c r="G67" s="71"/>
    </row>
    <row r="68" spans="2:7" s="65" customFormat="1" ht="16.5" customHeight="1">
      <c r="B68" s="91" t="s">
        <v>167</v>
      </c>
      <c r="C68" s="528" t="s">
        <v>91</v>
      </c>
      <c r="D68" s="667">
        <v>44454.895659999995</v>
      </c>
      <c r="E68" s="452">
        <f t="shared" si="2"/>
        <v>165416.66675086</v>
      </c>
      <c r="F68" s="71"/>
      <c r="G68" s="71"/>
    </row>
    <row r="69" spans="2:7" s="65" customFormat="1" ht="16.5" customHeight="1">
      <c r="B69" s="91" t="s">
        <v>223</v>
      </c>
      <c r="C69" s="528" t="s">
        <v>91</v>
      </c>
      <c r="D69" s="667">
        <v>40854.65022</v>
      </c>
      <c r="E69" s="452">
        <f t="shared" si="2"/>
        <v>152020.15346862</v>
      </c>
      <c r="F69" s="71"/>
      <c r="G69" s="71"/>
    </row>
    <row r="70" spans="2:7" s="65" customFormat="1" ht="16.5" customHeight="1">
      <c r="B70" s="91" t="s">
        <v>164</v>
      </c>
      <c r="C70" s="528" t="s">
        <v>91</v>
      </c>
      <c r="D70" s="667">
        <v>39505.509269999995</v>
      </c>
      <c r="E70" s="452">
        <f t="shared" si="2"/>
        <v>146999.99999367</v>
      </c>
      <c r="F70" s="71"/>
      <c r="G70" s="71"/>
    </row>
    <row r="71" spans="2:7" s="65" customFormat="1" ht="16.5" customHeight="1" hidden="1">
      <c r="B71" s="91" t="s">
        <v>245</v>
      </c>
      <c r="C71" s="528" t="s">
        <v>91</v>
      </c>
      <c r="D71" s="667"/>
      <c r="E71" s="452">
        <f t="shared" si="2"/>
        <v>0</v>
      </c>
      <c r="F71" s="71"/>
      <c r="G71" s="71"/>
    </row>
    <row r="72" spans="2:7" s="65" customFormat="1" ht="16.5" customHeight="1">
      <c r="B72" s="91" t="s">
        <v>211</v>
      </c>
      <c r="C72" s="528" t="s">
        <v>91</v>
      </c>
      <c r="D72" s="667">
        <v>34246.39946</v>
      </c>
      <c r="E72" s="452">
        <f t="shared" si="2"/>
        <v>127430.85239066</v>
      </c>
      <c r="F72" s="71"/>
      <c r="G72" s="71"/>
    </row>
    <row r="73" spans="2:7" s="65" customFormat="1" ht="16.5" customHeight="1">
      <c r="B73" s="91" t="s">
        <v>188</v>
      </c>
      <c r="C73" s="528" t="s">
        <v>91</v>
      </c>
      <c r="D73" s="667">
        <v>32249.395329999996</v>
      </c>
      <c r="E73" s="452">
        <f t="shared" si="2"/>
        <v>120000.00002293</v>
      </c>
      <c r="F73" s="71"/>
      <c r="G73" s="71"/>
    </row>
    <row r="74" spans="2:7" s="65" customFormat="1" ht="16.5" customHeight="1">
      <c r="B74" s="91" t="s">
        <v>245</v>
      </c>
      <c r="C74" s="528" t="s">
        <v>91</v>
      </c>
      <c r="D74" s="667">
        <v>25119.992929999997</v>
      </c>
      <c r="E74" s="452">
        <f t="shared" si="2"/>
        <v>93471.49369253</v>
      </c>
      <c r="F74" s="71"/>
      <c r="G74" s="71"/>
    </row>
    <row r="75" spans="2:7" s="65" customFormat="1" ht="16.5" customHeight="1">
      <c r="B75" s="91" t="s">
        <v>242</v>
      </c>
      <c r="C75" s="528" t="s">
        <v>91</v>
      </c>
      <c r="D75" s="667">
        <v>3184.62778</v>
      </c>
      <c r="E75" s="452">
        <f t="shared" si="2"/>
        <v>11849.99996938</v>
      </c>
      <c r="F75" s="71"/>
      <c r="G75" s="71"/>
    </row>
    <row r="76" spans="2:7" s="65" customFormat="1" ht="12" customHeight="1">
      <c r="B76" s="70"/>
      <c r="C76" s="525"/>
      <c r="D76" s="545"/>
      <c r="E76" s="451"/>
      <c r="F76" s="71"/>
      <c r="G76" s="71"/>
    </row>
    <row r="77" spans="2:7" s="90" customFormat="1" ht="16.5" customHeight="1">
      <c r="B77" s="359" t="s">
        <v>156</v>
      </c>
      <c r="C77" s="525"/>
      <c r="D77" s="544">
        <f>+D78</f>
        <v>548601.74553</v>
      </c>
      <c r="E77" s="453">
        <f>+E78</f>
        <v>2041347.09511713</v>
      </c>
      <c r="F77" s="71"/>
      <c r="G77" s="429"/>
    </row>
    <row r="78" spans="2:7" s="90" customFormat="1" ht="16.5" customHeight="1">
      <c r="B78" s="91" t="s">
        <v>194</v>
      </c>
      <c r="C78" s="523" t="s">
        <v>91</v>
      </c>
      <c r="D78" s="369">
        <v>548601.74553</v>
      </c>
      <c r="E78" s="452">
        <f>ROUND(D78*$F$9,8)</f>
        <v>2041347.09511713</v>
      </c>
      <c r="F78" s="71"/>
      <c r="G78" s="429"/>
    </row>
    <row r="79" spans="2:7" s="65" customFormat="1" ht="9.75" customHeight="1">
      <c r="B79" s="82"/>
      <c r="C79" s="82"/>
      <c r="D79" s="455"/>
      <c r="E79" s="500"/>
      <c r="F79" s="71"/>
      <c r="G79" s="429"/>
    </row>
    <row r="80" spans="2:7" s="80" customFormat="1" ht="15" customHeight="1">
      <c r="B80" s="622" t="s">
        <v>60</v>
      </c>
      <c r="C80" s="639"/>
      <c r="D80" s="617">
        <f>+D65+D77</f>
        <v>954806.51409</v>
      </c>
      <c r="E80" s="634">
        <f>+E65+E77</f>
        <v>3552835.0389288906</v>
      </c>
      <c r="F80" s="71"/>
      <c r="G80" s="429"/>
    </row>
    <row r="81" spans="2:6" s="80" customFormat="1" ht="15" customHeight="1">
      <c r="B81" s="623"/>
      <c r="C81" s="640"/>
      <c r="D81" s="618"/>
      <c r="E81" s="635"/>
      <c r="F81" s="88"/>
    </row>
    <row r="82" spans="4:5" ht="12.75">
      <c r="D82" s="189"/>
      <c r="E82" s="189"/>
    </row>
    <row r="83" spans="2:5" ht="15">
      <c r="B83" s="132"/>
      <c r="D83" s="360"/>
      <c r="E83" s="285"/>
    </row>
    <row r="84" spans="2:5" ht="15">
      <c r="B84" s="132"/>
      <c r="D84" s="360"/>
      <c r="E84" s="285"/>
    </row>
    <row r="85" spans="4:5" ht="12.75">
      <c r="D85" s="286"/>
      <c r="E85" s="286"/>
    </row>
    <row r="86" spans="4:5" ht="12.75">
      <c r="D86" s="239"/>
      <c r="E86" s="239"/>
    </row>
  </sheetData>
  <sheetProtection/>
  <mergeCells count="18">
    <mergeCell ref="B10:E10"/>
    <mergeCell ref="B11:B12"/>
    <mergeCell ref="C11:C12"/>
    <mergeCell ref="E11:E12"/>
    <mergeCell ref="D11:D12"/>
    <mergeCell ref="E80:E81"/>
    <mergeCell ref="B80:B81"/>
    <mergeCell ref="C80:C81"/>
    <mergeCell ref="D80:D81"/>
    <mergeCell ref="B61:E61"/>
    <mergeCell ref="B62:B63"/>
    <mergeCell ref="C62:C63"/>
    <mergeCell ref="D62:D63"/>
    <mergeCell ref="E62:E63"/>
    <mergeCell ref="B49:B50"/>
    <mergeCell ref="C49:C50"/>
    <mergeCell ref="D49:D50"/>
    <mergeCell ref="E49:E50"/>
  </mergeCells>
  <printOptions horizontalCentered="1"/>
  <pageMargins left="0.2755905511811024" right="0.31496062992125984" top="0.7086614173228347" bottom="0.1968503937007874" header="0.2755905511811024" footer="0.1968503937007874"/>
  <pageSetup fitToHeight="2" horizontalDpi="600" verticalDpi="600" orientation="portrait" paperSize="9" scale="62" r:id="rId2"/>
  <rowBreaks count="1" manualBreakCount="1">
    <brk id="53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7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5" customWidth="1"/>
    <col min="2" max="2" width="65.8515625" style="85" customWidth="1"/>
    <col min="3" max="3" width="11.7109375" style="85" customWidth="1"/>
    <col min="4" max="5" width="19.7109375" style="85" customWidth="1"/>
    <col min="6" max="6" width="8.421875" style="534" customWidth="1"/>
    <col min="7" max="16384" width="11.421875" style="85" customWidth="1"/>
  </cols>
  <sheetData>
    <row r="1" spans="2:6" s="133" customFormat="1" ht="18.75" customHeight="1">
      <c r="B1" s="650"/>
      <c r="C1" s="650"/>
      <c r="D1" s="650"/>
      <c r="E1" s="650"/>
      <c r="F1" s="534"/>
    </row>
    <row r="2" spans="2:6" s="133" customFormat="1" ht="18.75" customHeight="1">
      <c r="B2" s="650"/>
      <c r="C2" s="650"/>
      <c r="D2" s="650"/>
      <c r="E2" s="650"/>
      <c r="F2" s="534"/>
    </row>
    <row r="3" spans="2:6" s="133" customFormat="1" ht="11.25" customHeight="1">
      <c r="B3" s="650"/>
      <c r="C3" s="650"/>
      <c r="D3" s="650"/>
      <c r="E3" s="650"/>
      <c r="F3" s="534"/>
    </row>
    <row r="4" spans="2:8" s="133" customFormat="1" ht="15" customHeight="1">
      <c r="B4" s="650"/>
      <c r="C4" s="650"/>
      <c r="D4" s="650"/>
      <c r="E4" s="650"/>
      <c r="F4" s="534"/>
      <c r="G4" s="187"/>
      <c r="H4" s="187"/>
    </row>
    <row r="5" spans="2:8" ht="18">
      <c r="B5" s="127" t="s">
        <v>15</v>
      </c>
      <c r="C5" s="93"/>
      <c r="D5" s="93"/>
      <c r="E5" s="93"/>
      <c r="G5" s="130"/>
      <c r="H5" s="130"/>
    </row>
    <row r="6" spans="2:8" ht="18">
      <c r="B6" s="309" t="s">
        <v>133</v>
      </c>
      <c r="C6" s="309"/>
      <c r="D6" s="309"/>
      <c r="E6" s="309"/>
      <c r="F6" s="535"/>
      <c r="G6" s="130"/>
      <c r="H6" s="130"/>
    </row>
    <row r="7" spans="2:8" ht="18">
      <c r="B7" s="309" t="s">
        <v>132</v>
      </c>
      <c r="C7" s="309"/>
      <c r="D7" s="309"/>
      <c r="E7" s="309"/>
      <c r="F7" s="535"/>
      <c r="G7" s="130"/>
      <c r="H7" s="130"/>
    </row>
    <row r="8" spans="2:8" ht="16.5">
      <c r="B8" s="333" t="s">
        <v>103</v>
      </c>
      <c r="C8" s="181"/>
      <c r="D8" s="181"/>
      <c r="E8" s="181"/>
      <c r="G8" s="130"/>
      <c r="H8" s="130"/>
    </row>
    <row r="9" spans="2:8" ht="15.75">
      <c r="B9" s="131" t="str">
        <f>+'DEP-C2'!B9</f>
        <v>Al 31 de marzo de 2024</v>
      </c>
      <c r="C9" s="131"/>
      <c r="D9" s="131"/>
      <c r="E9" s="258"/>
      <c r="F9" s="536">
        <f>+Portada!H39</f>
        <v>3.721</v>
      </c>
      <c r="G9" s="130"/>
      <c r="H9" s="130"/>
    </row>
    <row r="10" spans="2:8" ht="9.75" customHeight="1">
      <c r="B10" s="181"/>
      <c r="C10" s="181"/>
      <c r="D10" s="181"/>
      <c r="E10" s="181"/>
      <c r="G10" s="130"/>
      <c r="H10" s="130"/>
    </row>
    <row r="11" spans="2:8" ht="16.5" customHeight="1">
      <c r="B11" s="382" t="s">
        <v>205</v>
      </c>
      <c r="C11" s="644" t="s">
        <v>99</v>
      </c>
      <c r="D11" s="646" t="s">
        <v>85</v>
      </c>
      <c r="E11" s="609" t="s">
        <v>161</v>
      </c>
      <c r="G11" s="130"/>
      <c r="H11" s="130"/>
    </row>
    <row r="12" spans="2:8" s="80" customFormat="1" ht="16.5" customHeight="1">
      <c r="B12" s="381" t="s">
        <v>206</v>
      </c>
      <c r="C12" s="645"/>
      <c r="D12" s="647"/>
      <c r="E12" s="610"/>
      <c r="F12" s="534"/>
      <c r="G12" s="163"/>
      <c r="H12" s="163"/>
    </row>
    <row r="13" spans="2:8" s="80" customFormat="1" ht="9.75" customHeight="1">
      <c r="B13" s="257"/>
      <c r="C13" s="139"/>
      <c r="D13" s="94"/>
      <c r="E13" s="94"/>
      <c r="F13" s="534"/>
      <c r="G13" s="163"/>
      <c r="H13" s="163"/>
    </row>
    <row r="14" spans="2:8" s="65" customFormat="1" ht="16.5" customHeight="1">
      <c r="B14" s="352" t="s">
        <v>87</v>
      </c>
      <c r="C14" s="352"/>
      <c r="D14" s="368">
        <f>+D15+D18+D20+D22+D25</f>
        <v>4554411.78864</v>
      </c>
      <c r="E14" s="368">
        <f>+E15+E18+E20+E22+E25</f>
        <v>16946966.26553</v>
      </c>
      <c r="F14" s="534"/>
      <c r="G14" s="162"/>
      <c r="H14" s="162"/>
    </row>
    <row r="15" spans="2:8" s="65" customFormat="1" ht="16.5" customHeight="1">
      <c r="B15" s="72" t="s">
        <v>35</v>
      </c>
      <c r="C15" s="73"/>
      <c r="D15" s="454">
        <f>SUM(D16:D17)</f>
        <v>1011111.11108</v>
      </c>
      <c r="E15" s="454">
        <f>SUM(E16:E17)</f>
        <v>3762344.44433</v>
      </c>
      <c r="F15" s="534"/>
      <c r="G15" s="162"/>
      <c r="H15" s="162"/>
    </row>
    <row r="16" spans="2:8" s="65" customFormat="1" ht="16.5" customHeight="1">
      <c r="B16" s="375" t="s">
        <v>224</v>
      </c>
      <c r="C16" s="73" t="s">
        <v>101</v>
      </c>
      <c r="D16" s="371">
        <v>1011111.11108</v>
      </c>
      <c r="E16" s="371">
        <f>ROUND(+D16*$F$9,5)</f>
        <v>3762344.44433</v>
      </c>
      <c r="F16" s="534"/>
      <c r="G16" s="162"/>
      <c r="H16" s="162"/>
    </row>
    <row r="17" spans="2:8" s="65" customFormat="1" ht="16.5" customHeight="1" hidden="1">
      <c r="B17" s="375" t="s">
        <v>183</v>
      </c>
      <c r="C17" s="73" t="s">
        <v>100</v>
      </c>
      <c r="D17" s="371">
        <v>0</v>
      </c>
      <c r="E17" s="371">
        <f>ROUND(+D17*$F$9,5)</f>
        <v>0</v>
      </c>
      <c r="F17" s="534"/>
      <c r="G17" s="162"/>
      <c r="H17" s="162"/>
    </row>
    <row r="18" spans="2:8" s="65" customFormat="1" ht="16.5" customHeight="1">
      <c r="B18" s="72" t="s">
        <v>123</v>
      </c>
      <c r="C18" s="73"/>
      <c r="D18" s="454">
        <f>+D19</f>
        <v>1458.98167</v>
      </c>
      <c r="E18" s="454">
        <f>+E19</f>
        <v>5428.87079</v>
      </c>
      <c r="F18" s="534"/>
      <c r="G18" s="162"/>
      <c r="H18" s="162"/>
    </row>
    <row r="19" spans="2:8" s="65" customFormat="1" ht="16.5" customHeight="1">
      <c r="B19" s="375" t="s">
        <v>181</v>
      </c>
      <c r="C19" s="73" t="s">
        <v>100</v>
      </c>
      <c r="D19" s="371">
        <v>1458.98167</v>
      </c>
      <c r="E19" s="371">
        <f aca="true" t="shared" si="0" ref="E19:E24">ROUND(+D19*$F$9,5)</f>
        <v>5428.87079</v>
      </c>
      <c r="F19" s="534"/>
      <c r="G19" s="162"/>
      <c r="H19" s="162"/>
    </row>
    <row r="20" spans="2:8" s="65" customFormat="1" ht="16.5" customHeight="1">
      <c r="B20" s="72" t="s">
        <v>73</v>
      </c>
      <c r="C20" s="73"/>
      <c r="D20" s="454">
        <f>+D21</f>
        <v>3000000</v>
      </c>
      <c r="E20" s="454">
        <f>+E21</f>
        <v>11163000</v>
      </c>
      <c r="F20" s="534"/>
      <c r="G20" s="162"/>
      <c r="H20" s="162"/>
    </row>
    <row r="21" spans="2:8" s="65" customFormat="1" ht="16.5" customHeight="1">
      <c r="B21" s="380" t="s">
        <v>217</v>
      </c>
      <c r="C21" s="73" t="s">
        <v>101</v>
      </c>
      <c r="D21" s="371">
        <v>3000000</v>
      </c>
      <c r="E21" s="371">
        <f>ROUND(+D21*$F$9,5)</f>
        <v>11163000</v>
      </c>
      <c r="F21" s="534"/>
      <c r="G21" s="162"/>
      <c r="H21" s="162"/>
    </row>
    <row r="22" spans="2:8" s="65" customFormat="1" ht="16.5" customHeight="1">
      <c r="B22" s="72" t="s">
        <v>86</v>
      </c>
      <c r="C22" s="72"/>
      <c r="D22" s="454">
        <f>SUM(D23:D24)</f>
        <v>429421.19991</v>
      </c>
      <c r="E22" s="454">
        <f>SUM(E23:E24)</f>
        <v>1597876.28487</v>
      </c>
      <c r="F22" s="534"/>
      <c r="G22" s="162"/>
      <c r="H22" s="162"/>
    </row>
    <row r="23" spans="2:8" s="65" customFormat="1" ht="16.5" customHeight="1">
      <c r="B23" s="375" t="s">
        <v>218</v>
      </c>
      <c r="C23" s="73" t="s">
        <v>100</v>
      </c>
      <c r="D23" s="521">
        <v>323243.51556</v>
      </c>
      <c r="E23" s="371">
        <f t="shared" si="0"/>
        <v>1202789.1214</v>
      </c>
      <c r="F23" s="534"/>
      <c r="G23" s="162"/>
      <c r="H23" s="162"/>
    </row>
    <row r="24" spans="2:8" s="65" customFormat="1" ht="16.5" customHeight="1">
      <c r="B24" s="375" t="s">
        <v>178</v>
      </c>
      <c r="C24" s="73" t="s">
        <v>100</v>
      </c>
      <c r="D24" s="371">
        <v>106177.68435</v>
      </c>
      <c r="E24" s="371">
        <f t="shared" si="0"/>
        <v>395087.16347</v>
      </c>
      <c r="F24" s="534"/>
      <c r="G24" s="162"/>
      <c r="H24" s="162"/>
    </row>
    <row r="25" spans="2:8" s="65" customFormat="1" ht="16.5" customHeight="1">
      <c r="B25" s="72" t="s">
        <v>36</v>
      </c>
      <c r="C25" s="73"/>
      <c r="D25" s="454">
        <f>SUM(D26:D27)</f>
        <v>112420.49598</v>
      </c>
      <c r="E25" s="454">
        <f>SUM(E26:E27)</f>
        <v>418316.66554</v>
      </c>
      <c r="F25" s="534"/>
      <c r="G25" s="162"/>
      <c r="H25" s="162"/>
    </row>
    <row r="26" spans="2:8" s="65" customFormat="1" ht="16.5" customHeight="1">
      <c r="B26" s="375" t="s">
        <v>0</v>
      </c>
      <c r="C26" s="73" t="s">
        <v>100</v>
      </c>
      <c r="D26" s="371">
        <v>112420.49598</v>
      </c>
      <c r="E26" s="371">
        <f>ROUND(+D26*$F$9,5)</f>
        <v>418316.66554</v>
      </c>
      <c r="F26" s="534"/>
      <c r="G26" s="162"/>
      <c r="H26" s="162"/>
    </row>
    <row r="27" spans="2:8" s="65" customFormat="1" ht="16.5" customHeight="1" hidden="1">
      <c r="B27" s="375" t="s">
        <v>179</v>
      </c>
      <c r="C27" s="73" t="s">
        <v>100</v>
      </c>
      <c r="D27" s="371">
        <v>0</v>
      </c>
      <c r="E27" s="371">
        <f>ROUND(+D27*$F$9,5)</f>
        <v>0</v>
      </c>
      <c r="F27" s="534"/>
      <c r="G27" s="162"/>
      <c r="H27" s="162"/>
    </row>
    <row r="28" spans="2:8" s="65" customFormat="1" ht="12" customHeight="1">
      <c r="B28" s="69"/>
      <c r="C28" s="73"/>
      <c r="D28" s="369"/>
      <c r="E28" s="369"/>
      <c r="F28" s="534"/>
      <c r="G28" s="162"/>
      <c r="H28" s="162"/>
    </row>
    <row r="29" spans="2:8" s="65" customFormat="1" ht="21.75" customHeight="1">
      <c r="B29" s="352" t="s">
        <v>88</v>
      </c>
      <c r="C29" s="68"/>
      <c r="D29" s="368">
        <f>+D30+D34+D36+D39+D41</f>
        <v>4011029.65355</v>
      </c>
      <c r="E29" s="368">
        <f>+E30+E34+E36+E39+E41</f>
        <v>14925041.34085</v>
      </c>
      <c r="F29" s="537"/>
      <c r="G29" s="162"/>
      <c r="H29" s="162"/>
    </row>
    <row r="30" spans="2:6" s="65" customFormat="1" ht="16.5" customHeight="1">
      <c r="B30" s="72" t="s">
        <v>35</v>
      </c>
      <c r="C30" s="73"/>
      <c r="D30" s="454">
        <f>SUM(D31:D33)</f>
        <v>755520.0215000001</v>
      </c>
      <c r="E30" s="454">
        <f>SUM(E31:E33)</f>
        <v>2811290</v>
      </c>
      <c r="F30" s="538"/>
    </row>
    <row r="31" spans="2:6" s="65" customFormat="1" ht="16.5" customHeight="1">
      <c r="B31" s="375" t="s">
        <v>241</v>
      </c>
      <c r="C31" s="73" t="s">
        <v>101</v>
      </c>
      <c r="D31" s="371">
        <v>588226.28326</v>
      </c>
      <c r="E31" s="371">
        <f>ROUND(+D31*$F$9,5)</f>
        <v>2188790.00001</v>
      </c>
      <c r="F31" s="539"/>
    </row>
    <row r="32" spans="2:6" s="65" customFormat="1" ht="16.5" customHeight="1">
      <c r="B32" s="375" t="s">
        <v>262</v>
      </c>
      <c r="C32" s="73" t="s">
        <v>101</v>
      </c>
      <c r="D32" s="371">
        <v>164471.91615</v>
      </c>
      <c r="E32" s="371">
        <f>ROUND(+D32*$F$9,5)</f>
        <v>611999.99999</v>
      </c>
      <c r="F32" s="539"/>
    </row>
    <row r="33" spans="2:6" s="65" customFormat="1" ht="16.5" customHeight="1">
      <c r="B33" s="375" t="s">
        <v>154</v>
      </c>
      <c r="C33" s="73" t="s">
        <v>100</v>
      </c>
      <c r="D33" s="371">
        <v>2821.82209</v>
      </c>
      <c r="E33" s="371">
        <f>ROUND(+D33*$F$9,5)</f>
        <v>10500</v>
      </c>
      <c r="F33" s="539"/>
    </row>
    <row r="34" spans="2:6" s="65" customFormat="1" ht="16.5" customHeight="1">
      <c r="B34" s="72" t="s">
        <v>123</v>
      </c>
      <c r="C34" s="73"/>
      <c r="D34" s="454">
        <f>+D35</f>
        <v>387484.3769</v>
      </c>
      <c r="E34" s="454">
        <f>+E35</f>
        <v>1441829.36644</v>
      </c>
      <c r="F34" s="538"/>
    </row>
    <row r="35" spans="2:6" s="65" customFormat="1" ht="16.5" customHeight="1">
      <c r="B35" s="375" t="s">
        <v>181</v>
      </c>
      <c r="C35" s="73" t="s">
        <v>100</v>
      </c>
      <c r="D35" s="371">
        <v>387484.3769</v>
      </c>
      <c r="E35" s="371">
        <f>ROUND(+D35*$F$9,5)</f>
        <v>1441829.36644</v>
      </c>
      <c r="F35" s="534"/>
    </row>
    <row r="36" spans="2:6" s="65" customFormat="1" ht="16.5" customHeight="1">
      <c r="B36" s="72" t="s">
        <v>73</v>
      </c>
      <c r="C36" s="73"/>
      <c r="D36" s="454">
        <f>SUM(D37:D38)</f>
        <v>2266869.26308</v>
      </c>
      <c r="E36" s="454">
        <f>SUM(E37:E38)</f>
        <v>8435020.52792</v>
      </c>
      <c r="F36" s="534"/>
    </row>
    <row r="37" spans="2:6" s="65" customFormat="1" ht="16.5" customHeight="1">
      <c r="B37" s="380" t="s">
        <v>219</v>
      </c>
      <c r="C37" s="73" t="s">
        <v>101</v>
      </c>
      <c r="D37" s="371">
        <v>1766548</v>
      </c>
      <c r="E37" s="371">
        <f>ROUND(+D37*$F$9,5)</f>
        <v>6573325.108</v>
      </c>
      <c r="F37" s="534"/>
    </row>
    <row r="38" spans="2:6" s="65" customFormat="1" ht="16.5" customHeight="1">
      <c r="B38" s="380" t="s">
        <v>220</v>
      </c>
      <c r="C38" s="73" t="s">
        <v>100</v>
      </c>
      <c r="D38" s="371">
        <v>500321.26308</v>
      </c>
      <c r="E38" s="371">
        <f>ROUND(+D38*$F$9,5)</f>
        <v>1861695.41992</v>
      </c>
      <c r="F38" s="534"/>
    </row>
    <row r="39" spans="2:6" s="65" customFormat="1" ht="16.5" customHeight="1">
      <c r="B39" s="72" t="s">
        <v>86</v>
      </c>
      <c r="C39" s="72"/>
      <c r="D39" s="454">
        <f>+D40</f>
        <v>30345.50074</v>
      </c>
      <c r="E39" s="454">
        <f>+E40</f>
        <v>112915.60825</v>
      </c>
      <c r="F39" s="534"/>
    </row>
    <row r="40" spans="2:6" s="65" customFormat="1" ht="16.5" customHeight="1">
      <c r="B40" s="375" t="s">
        <v>218</v>
      </c>
      <c r="C40" s="73" t="s">
        <v>100</v>
      </c>
      <c r="D40" s="371">
        <v>30345.50074</v>
      </c>
      <c r="E40" s="371">
        <f>ROUND(+D40*$F$9,5)</f>
        <v>112915.60825</v>
      </c>
      <c r="F40" s="534"/>
    </row>
    <row r="41" spans="2:6" s="65" customFormat="1" ht="16.5" customHeight="1">
      <c r="B41" s="72" t="s">
        <v>36</v>
      </c>
      <c r="C41" s="73"/>
      <c r="D41" s="454">
        <f>SUM(D42:D46)</f>
        <v>570810.4913299999</v>
      </c>
      <c r="E41" s="454">
        <f>SUM(E42:E46)</f>
        <v>2123985.83824</v>
      </c>
      <c r="F41" s="534"/>
    </row>
    <row r="42" spans="2:6" s="65" customFormat="1" ht="16.5" customHeight="1">
      <c r="B42" s="375" t="s">
        <v>225</v>
      </c>
      <c r="C42" s="73" t="s">
        <v>101</v>
      </c>
      <c r="D42" s="371">
        <v>308079.36376</v>
      </c>
      <c r="E42" s="371">
        <f>ROUND(+D42*$F$9,5)</f>
        <v>1146363.31255</v>
      </c>
      <c r="F42" s="534"/>
    </row>
    <row r="43" spans="2:6" s="65" customFormat="1" ht="16.5" customHeight="1">
      <c r="B43" s="375" t="s">
        <v>163</v>
      </c>
      <c r="C43" s="73" t="s">
        <v>101</v>
      </c>
      <c r="D43" s="371">
        <v>212039.7743</v>
      </c>
      <c r="E43" s="371">
        <f>ROUND(+D43*$F$9,5)</f>
        <v>789000.00017</v>
      </c>
      <c r="F43" s="534"/>
    </row>
    <row r="44" spans="2:6" s="65" customFormat="1" ht="16.5" customHeight="1">
      <c r="B44" s="375" t="s">
        <v>226</v>
      </c>
      <c r="C44" s="73" t="s">
        <v>101</v>
      </c>
      <c r="D44" s="371">
        <v>38076.924</v>
      </c>
      <c r="E44" s="371">
        <f>ROUND(+D44*$F$9,5)</f>
        <v>141684.2342</v>
      </c>
      <c r="F44" s="534"/>
    </row>
    <row r="45" spans="2:6" s="65" customFormat="1" ht="16.5" customHeight="1">
      <c r="B45" s="375" t="s">
        <v>203</v>
      </c>
      <c r="C45" s="73" t="s">
        <v>100</v>
      </c>
      <c r="D45" s="371">
        <v>10135.52428</v>
      </c>
      <c r="E45" s="371">
        <f>ROUND(+D45*$F$9,5)</f>
        <v>37714.28585</v>
      </c>
      <c r="F45" s="534"/>
    </row>
    <row r="46" spans="2:6" s="65" customFormat="1" ht="16.5" customHeight="1">
      <c r="B46" s="375" t="s">
        <v>175</v>
      </c>
      <c r="C46" s="73" t="s">
        <v>101</v>
      </c>
      <c r="D46" s="371">
        <v>2478.90499</v>
      </c>
      <c r="E46" s="371">
        <f>ROUND(+D46*$F$9,5)</f>
        <v>9224.00547</v>
      </c>
      <c r="F46" s="534"/>
    </row>
    <row r="47" spans="2:6" s="65" customFormat="1" ht="9.75" customHeight="1">
      <c r="B47" s="140"/>
      <c r="C47" s="141"/>
      <c r="D47" s="455"/>
      <c r="E47" s="455"/>
      <c r="F47" s="534"/>
    </row>
    <row r="48" spans="2:6" s="80" customFormat="1" ht="15" customHeight="1">
      <c r="B48" s="649" t="s">
        <v>98</v>
      </c>
      <c r="C48" s="142"/>
      <c r="D48" s="655">
        <f>+D29+D14</f>
        <v>8565441.442189999</v>
      </c>
      <c r="E48" s="617">
        <f>+E29+E14</f>
        <v>31872007.60638</v>
      </c>
      <c r="F48" s="534"/>
    </row>
    <row r="49" spans="2:6" s="80" customFormat="1" ht="15" customHeight="1">
      <c r="B49" s="623"/>
      <c r="C49" s="143"/>
      <c r="D49" s="618"/>
      <c r="E49" s="618"/>
      <c r="F49" s="534"/>
    </row>
    <row r="50" spans="2:5" ht="6" customHeight="1">
      <c r="B50" s="144"/>
      <c r="C50" s="144"/>
      <c r="D50" s="95"/>
      <c r="E50" s="95"/>
    </row>
    <row r="51" spans="2:5" ht="14.25" customHeight="1">
      <c r="B51" s="84" t="s">
        <v>237</v>
      </c>
      <c r="C51" s="84"/>
      <c r="D51" s="491"/>
      <c r="E51" s="65"/>
    </row>
    <row r="52" spans="2:5" ht="14.25" customHeight="1">
      <c r="B52" s="84" t="s">
        <v>216</v>
      </c>
      <c r="C52" s="84"/>
      <c r="D52" s="84"/>
      <c r="E52" s="65"/>
    </row>
    <row r="53" spans="2:5" ht="14.25" customHeight="1">
      <c r="B53" s="531" t="s">
        <v>258</v>
      </c>
      <c r="C53" s="84"/>
      <c r="D53" s="166"/>
      <c r="E53" s="65"/>
    </row>
    <row r="54" spans="2:5" ht="14.25" customHeight="1">
      <c r="B54" s="84" t="s">
        <v>263</v>
      </c>
      <c r="C54" s="84"/>
      <c r="D54" s="84"/>
      <c r="E54" s="207"/>
    </row>
    <row r="55" spans="2:5" ht="12.75" customHeight="1">
      <c r="B55" s="526"/>
      <c r="C55" s="84"/>
      <c r="D55" s="84"/>
      <c r="E55" s="207"/>
    </row>
    <row r="56" spans="4:6" ht="12.75" customHeight="1">
      <c r="D56" s="378"/>
      <c r="F56" s="540"/>
    </row>
    <row r="57" spans="2:5" ht="12.75" customHeight="1">
      <c r="B57" s="84"/>
      <c r="D57" s="240"/>
      <c r="E57" s="240"/>
    </row>
    <row r="58" spans="2:5" ht="12.75" customHeight="1">
      <c r="B58" s="84"/>
      <c r="D58" s="240"/>
      <c r="E58" s="240"/>
    </row>
    <row r="59" ht="12.75" customHeight="1">
      <c r="D59" s="96"/>
    </row>
    <row r="60" spans="2:6" s="133" customFormat="1" ht="18">
      <c r="B60" s="93" t="s">
        <v>119</v>
      </c>
      <c r="C60" s="93"/>
      <c r="D60" s="93"/>
      <c r="E60" s="93"/>
      <c r="F60" s="534"/>
    </row>
    <row r="61" spans="2:6" s="133" customFormat="1" ht="18">
      <c r="B61" s="648" t="s">
        <v>133</v>
      </c>
      <c r="C61" s="648"/>
      <c r="D61" s="648"/>
      <c r="E61" s="648"/>
      <c r="F61" s="535"/>
    </row>
    <row r="62" spans="2:6" s="133" customFormat="1" ht="18">
      <c r="B62" s="648" t="s">
        <v>134</v>
      </c>
      <c r="C62" s="648"/>
      <c r="D62" s="648"/>
      <c r="E62" s="648"/>
      <c r="F62" s="535"/>
    </row>
    <row r="63" spans="2:5" ht="16.5">
      <c r="B63" s="654" t="s">
        <v>103</v>
      </c>
      <c r="C63" s="654"/>
      <c r="D63" s="654"/>
      <c r="E63" s="654"/>
    </row>
    <row r="64" spans="2:5" ht="15.75">
      <c r="B64" s="621" t="str">
        <f>+B9</f>
        <v>Al 31 de marzo de 2024</v>
      </c>
      <c r="C64" s="621"/>
      <c r="D64" s="621"/>
      <c r="E64" s="509"/>
    </row>
    <row r="65" spans="2:5" ht="9.75" customHeight="1">
      <c r="B65" s="181"/>
      <c r="C65" s="181"/>
      <c r="D65" s="181"/>
      <c r="E65" s="181"/>
    </row>
    <row r="66" spans="2:5" ht="16.5" customHeight="1">
      <c r="B66" s="382" t="s">
        <v>205</v>
      </c>
      <c r="C66" s="644" t="s">
        <v>99</v>
      </c>
      <c r="D66" s="646" t="s">
        <v>85</v>
      </c>
      <c r="E66" s="609" t="s">
        <v>161</v>
      </c>
    </row>
    <row r="67" spans="2:6" s="80" customFormat="1" ht="16.5" customHeight="1">
      <c r="B67" s="381" t="s">
        <v>206</v>
      </c>
      <c r="C67" s="645"/>
      <c r="D67" s="647"/>
      <c r="E67" s="610"/>
      <c r="F67" s="534"/>
    </row>
    <row r="68" spans="2:6" s="80" customFormat="1" ht="9.75" customHeight="1">
      <c r="B68" s="508"/>
      <c r="C68" s="139"/>
      <c r="D68" s="94"/>
      <c r="E68" s="94"/>
      <c r="F68" s="534"/>
    </row>
    <row r="69" spans="2:6" s="65" customFormat="1" ht="16.5" customHeight="1">
      <c r="B69" s="352" t="s">
        <v>87</v>
      </c>
      <c r="C69" s="352"/>
      <c r="D69" s="383">
        <f>+D70+D82+D84</f>
        <v>851339.7040900001</v>
      </c>
      <c r="E69" s="383">
        <f>+E70+E82+E84</f>
        <v>3167835.03892</v>
      </c>
      <c r="F69" s="534"/>
    </row>
    <row r="70" spans="2:6" s="65" customFormat="1" ht="16.5" customHeight="1">
      <c r="B70" s="72" t="s">
        <v>35</v>
      </c>
      <c r="C70" s="72"/>
      <c r="D70" s="384">
        <f>SUM(D71:D81)</f>
        <v>786681.9061400001</v>
      </c>
      <c r="E70" s="384">
        <f>SUM(E71:E81)</f>
        <v>2927243.37275</v>
      </c>
      <c r="F70" s="534"/>
    </row>
    <row r="71" spans="2:6" s="65" customFormat="1" ht="16.5" customHeight="1">
      <c r="B71" s="375" t="s">
        <v>239</v>
      </c>
      <c r="C71" s="73" t="s">
        <v>101</v>
      </c>
      <c r="D71" s="411">
        <v>269201.74553</v>
      </c>
      <c r="E71" s="379">
        <f>ROUND(+D71*$F$9,5)</f>
        <v>1001699.69512</v>
      </c>
      <c r="F71" s="534"/>
    </row>
    <row r="72" spans="2:6" s="65" customFormat="1" ht="16.5" customHeight="1">
      <c r="B72" s="375" t="s">
        <v>251</v>
      </c>
      <c r="C72" s="73" t="s">
        <v>101</v>
      </c>
      <c r="D72" s="411">
        <v>150000</v>
      </c>
      <c r="E72" s="379">
        <f>ROUND(+D72*$F$9,5)</f>
        <v>558150</v>
      </c>
      <c r="F72" s="534"/>
    </row>
    <row r="73" spans="2:6" s="65" customFormat="1" ht="16.5" customHeight="1">
      <c r="B73" s="375" t="s">
        <v>182</v>
      </c>
      <c r="C73" s="73" t="s">
        <v>100</v>
      </c>
      <c r="D73" s="411">
        <v>149397.56336</v>
      </c>
      <c r="E73" s="379">
        <f>ROUND(+D73*$F$9,5)</f>
        <v>555908.33326</v>
      </c>
      <c r="F73" s="534"/>
    </row>
    <row r="74" spans="2:6" s="65" customFormat="1" ht="16.5" customHeight="1">
      <c r="B74" s="375" t="s">
        <v>247</v>
      </c>
      <c r="C74" s="73" t="s">
        <v>101</v>
      </c>
      <c r="D74" s="411">
        <v>74000</v>
      </c>
      <c r="E74" s="379">
        <f>ROUND(+D74*$F$9,5)</f>
        <v>275354</v>
      </c>
      <c r="F74" s="534"/>
    </row>
    <row r="75" spans="2:6" s="65" customFormat="1" ht="16.5" customHeight="1">
      <c r="B75" s="375" t="s">
        <v>154</v>
      </c>
      <c r="C75" s="73" t="s">
        <v>100</v>
      </c>
      <c r="D75" s="411">
        <v>56412.48649</v>
      </c>
      <c r="E75" s="379">
        <f>ROUND(+D75*$F$9,5)</f>
        <v>209910.86223</v>
      </c>
      <c r="F75" s="534"/>
    </row>
    <row r="76" spans="2:6" s="65" customFormat="1" ht="16.5" customHeight="1">
      <c r="B76" s="375" t="s">
        <v>241</v>
      </c>
      <c r="C76" s="73" t="s">
        <v>101</v>
      </c>
      <c r="D76" s="411">
        <v>20000</v>
      </c>
      <c r="E76" s="379">
        <f>ROUND(+D76*$F$9,5)</f>
        <v>74420</v>
      </c>
      <c r="F76" s="534"/>
    </row>
    <row r="77" spans="2:6" s="65" customFormat="1" ht="16.5" customHeight="1">
      <c r="B77" s="375" t="s">
        <v>252</v>
      </c>
      <c r="C77" s="73" t="s">
        <v>101</v>
      </c>
      <c r="D77" s="411">
        <v>20000</v>
      </c>
      <c r="E77" s="379">
        <f>ROUND(+D77*$F$9,5)</f>
        <v>74420</v>
      </c>
      <c r="F77" s="534"/>
    </row>
    <row r="78" spans="2:6" s="65" customFormat="1" ht="16.5" customHeight="1">
      <c r="B78" s="375" t="s">
        <v>183</v>
      </c>
      <c r="C78" s="73" t="s">
        <v>100</v>
      </c>
      <c r="D78" s="411">
        <v>17603.7105</v>
      </c>
      <c r="E78" s="379">
        <f>ROUND(+D78*$F$9,5)</f>
        <v>65503.40677</v>
      </c>
      <c r="F78" s="534"/>
    </row>
    <row r="79" spans="2:6" s="65" customFormat="1" ht="16.5" customHeight="1">
      <c r="B79" s="375" t="s">
        <v>255</v>
      </c>
      <c r="C79" s="73" t="s">
        <v>100</v>
      </c>
      <c r="D79" s="411">
        <v>11287.28836</v>
      </c>
      <c r="E79" s="379">
        <f>ROUND(+D79*$F$9,5)</f>
        <v>41999.99999</v>
      </c>
      <c r="F79" s="534"/>
    </row>
    <row r="80" spans="2:6" s="65" customFormat="1" ht="16.5" customHeight="1">
      <c r="B80" s="375" t="s">
        <v>256</v>
      </c>
      <c r="C80" s="73" t="s">
        <v>101</v>
      </c>
      <c r="D80" s="411">
        <v>10000</v>
      </c>
      <c r="E80" s="379">
        <f>ROUND(+D80*$F$9,5)</f>
        <v>37210</v>
      </c>
      <c r="F80" s="534"/>
    </row>
    <row r="81" spans="2:6" s="65" customFormat="1" ht="16.5" customHeight="1">
      <c r="B81" s="375" t="s">
        <v>180</v>
      </c>
      <c r="C81" s="73" t="s">
        <v>100</v>
      </c>
      <c r="D81" s="411">
        <v>8779.1119</v>
      </c>
      <c r="E81" s="379">
        <f>ROUND(+D81*$F$9,5)</f>
        <v>32667.07538</v>
      </c>
      <c r="F81" s="534"/>
    </row>
    <row r="82" spans="2:6" s="65" customFormat="1" ht="16.5" customHeight="1">
      <c r="B82" s="72" t="s">
        <v>123</v>
      </c>
      <c r="C82" s="74"/>
      <c r="D82" s="384">
        <f>+D83</f>
        <v>64657.79795</v>
      </c>
      <c r="E82" s="384">
        <f>+E83</f>
        <v>240591.66617</v>
      </c>
      <c r="F82" s="534"/>
    </row>
    <row r="83" spans="2:6" s="65" customFormat="1" ht="16.5" customHeight="1">
      <c r="B83" s="375" t="s">
        <v>181</v>
      </c>
      <c r="C83" s="73" t="s">
        <v>100</v>
      </c>
      <c r="D83" s="411">
        <v>64657.79795</v>
      </c>
      <c r="E83" s="379">
        <f>ROUND(+D83*$F$9,5)</f>
        <v>240591.66617</v>
      </c>
      <c r="F83" s="534"/>
    </row>
    <row r="84" spans="2:6" s="65" customFormat="1" ht="16.5" customHeight="1" hidden="1">
      <c r="B84" s="72" t="s">
        <v>36</v>
      </c>
      <c r="C84" s="73"/>
      <c r="D84" s="384">
        <f>SUM(D85:D85)</f>
        <v>0</v>
      </c>
      <c r="E84" s="384">
        <f>SUM(E85:E85)</f>
        <v>0</v>
      </c>
      <c r="F84" s="534"/>
    </row>
    <row r="85" spans="2:6" s="65" customFormat="1" ht="16.5" customHeight="1" hidden="1">
      <c r="B85" s="375" t="s">
        <v>0</v>
      </c>
      <c r="C85" s="73" t="s">
        <v>100</v>
      </c>
      <c r="D85" s="411">
        <v>0</v>
      </c>
      <c r="E85" s="379">
        <f>ROUND(+D85*$F$9,5)</f>
        <v>0</v>
      </c>
      <c r="F85" s="534"/>
    </row>
    <row r="86" spans="2:6" s="65" customFormat="1" ht="12" customHeight="1">
      <c r="B86" s="375"/>
      <c r="C86" s="73"/>
      <c r="D86" s="411"/>
      <c r="E86" s="379"/>
      <c r="F86" s="534"/>
    </row>
    <row r="87" spans="2:6" s="65" customFormat="1" ht="16.5" customHeight="1">
      <c r="B87" s="352" t="s">
        <v>88</v>
      </c>
      <c r="C87" s="352"/>
      <c r="D87" s="383">
        <f>+D88</f>
        <v>103466.81</v>
      </c>
      <c r="E87" s="383">
        <f>+E88</f>
        <v>385000.00000999996</v>
      </c>
      <c r="F87" s="534"/>
    </row>
    <row r="88" spans="2:6" s="65" customFormat="1" ht="16.5" customHeight="1">
      <c r="B88" s="72" t="s">
        <v>35</v>
      </c>
      <c r="C88" s="72"/>
      <c r="D88" s="384">
        <f>SUM(D89:D90)</f>
        <v>103466.81</v>
      </c>
      <c r="E88" s="384">
        <f>SUM(E89:E90)</f>
        <v>385000.00000999996</v>
      </c>
      <c r="F88" s="534"/>
    </row>
    <row r="89" spans="2:6" s="65" customFormat="1" ht="16.5" customHeight="1">
      <c r="B89" s="375" t="s">
        <v>183</v>
      </c>
      <c r="C89" s="73" t="s">
        <v>100</v>
      </c>
      <c r="D89" s="411">
        <v>53748.99221</v>
      </c>
      <c r="E89" s="379">
        <f>ROUND(+D89*$F$9,5)</f>
        <v>200000.00001</v>
      </c>
      <c r="F89" s="534"/>
    </row>
    <row r="90" spans="2:6" s="65" customFormat="1" ht="16.5" customHeight="1">
      <c r="B90" s="375" t="s">
        <v>154</v>
      </c>
      <c r="C90" s="73" t="s">
        <v>100</v>
      </c>
      <c r="D90" s="411">
        <v>49717.81779</v>
      </c>
      <c r="E90" s="379">
        <f>ROUND(+D90*$F$9,5)</f>
        <v>185000</v>
      </c>
      <c r="F90" s="534"/>
    </row>
    <row r="91" spans="2:6" s="65" customFormat="1" ht="9.75" customHeight="1">
      <c r="B91" s="140"/>
      <c r="C91" s="140"/>
      <c r="D91" s="385"/>
      <c r="E91" s="385"/>
      <c r="F91" s="534"/>
    </row>
    <row r="92" spans="2:6" s="80" customFormat="1" ht="15" customHeight="1">
      <c r="B92" s="622" t="s">
        <v>98</v>
      </c>
      <c r="C92" s="142"/>
      <c r="D92" s="651">
        <f>+D87+D69</f>
        <v>954806.5140900002</v>
      </c>
      <c r="E92" s="653">
        <f>+E87+E69</f>
        <v>3552835.0389300003</v>
      </c>
      <c r="F92" s="534"/>
    </row>
    <row r="93" spans="2:6" s="80" customFormat="1" ht="15" customHeight="1">
      <c r="B93" s="623"/>
      <c r="C93" s="143"/>
      <c r="D93" s="652"/>
      <c r="E93" s="652"/>
      <c r="F93" s="534"/>
    </row>
    <row r="94" spans="2:5" ht="7.5" customHeight="1">
      <c r="B94" s="144"/>
      <c r="C94" s="144"/>
      <c r="D94" s="95"/>
      <c r="E94" s="95"/>
    </row>
    <row r="95" spans="4:5" ht="12.75">
      <c r="D95" s="420"/>
      <c r="E95" s="420"/>
    </row>
    <row r="96" ht="12.75">
      <c r="D96" s="419"/>
    </row>
    <row r="97" spans="4:5" ht="12.75">
      <c r="D97" s="96"/>
      <c r="E97" s="96"/>
    </row>
  </sheetData>
  <sheetProtection/>
  <mergeCells count="20">
    <mergeCell ref="B1:E1"/>
    <mergeCell ref="B2:E2"/>
    <mergeCell ref="B3:E3"/>
    <mergeCell ref="B4:E4"/>
    <mergeCell ref="E11:E12"/>
    <mergeCell ref="B92:B93"/>
    <mergeCell ref="D92:D93"/>
    <mergeCell ref="E92:E93"/>
    <mergeCell ref="B63:E63"/>
    <mergeCell ref="D48:D49"/>
    <mergeCell ref="C66:C67"/>
    <mergeCell ref="C11:C12"/>
    <mergeCell ref="D11:D12"/>
    <mergeCell ref="B64:D64"/>
    <mergeCell ref="E48:E49"/>
    <mergeCell ref="B61:E61"/>
    <mergeCell ref="B48:B49"/>
    <mergeCell ref="D66:D67"/>
    <mergeCell ref="B62:E62"/>
    <mergeCell ref="E66:E67"/>
  </mergeCells>
  <printOptions horizontalCentered="1"/>
  <pageMargins left="0.5118110236220472" right="0.15748031496062992" top="0.5511811023622047" bottom="0.31496062992125984" header="0.31496062992125984" footer="0.31496062992125984"/>
  <pageSetup fitToHeight="1" fitToWidth="1" horizontalDpi="600" verticalDpi="600" orientation="portrait" paperSize="9" scale="58" r:id="rId2"/>
  <ignoredErrors>
    <ignoredError sqref="E27:E30 E36:E41 E34 E18:E26 E16 E82 E84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7" customWidth="1"/>
    <col min="2" max="2" width="103.8515625" style="97" customWidth="1"/>
    <col min="3" max="4" width="19.7109375" style="97" customWidth="1"/>
    <col min="5" max="5" width="15.140625" style="164" customWidth="1"/>
    <col min="6" max="6" width="13.57421875" style="97" bestFit="1" customWidth="1"/>
    <col min="7" max="7" width="21.421875" style="97" bestFit="1" customWidth="1"/>
    <col min="8" max="8" width="16.57421875" style="97" bestFit="1" customWidth="1"/>
    <col min="9" max="9" width="18.57421875" style="97" bestFit="1" customWidth="1"/>
    <col min="10" max="16384" width="11.421875" style="97" customWidth="1"/>
  </cols>
  <sheetData>
    <row r="1" ht="12.75">
      <c r="B1" s="145"/>
    </row>
    <row r="2" ht="12.75">
      <c r="B2" s="145"/>
    </row>
    <row r="3" ht="12.75">
      <c r="B3" s="145"/>
    </row>
    <row r="4" spans="2:16" ht="24.75" customHeight="1">
      <c r="B4" s="145"/>
      <c r="P4" s="192"/>
    </row>
    <row r="5" spans="2:16" ht="18">
      <c r="B5" s="361" t="s">
        <v>16</v>
      </c>
      <c r="C5" s="361"/>
      <c r="D5" s="361"/>
      <c r="P5" s="192"/>
    </row>
    <row r="6" spans="2:16" ht="18">
      <c r="B6" s="362" t="s">
        <v>133</v>
      </c>
      <c r="C6" s="362"/>
      <c r="D6" s="362"/>
      <c r="P6" s="192"/>
    </row>
    <row r="7" spans="2:16" ht="18">
      <c r="B7" s="362" t="s">
        <v>132</v>
      </c>
      <c r="C7" s="362"/>
      <c r="D7" s="362"/>
      <c r="E7" s="287"/>
      <c r="P7" s="192"/>
    </row>
    <row r="8" spans="2:16" ht="16.5">
      <c r="B8" s="366" t="s">
        <v>58</v>
      </c>
      <c r="C8" s="363"/>
      <c r="D8" s="363"/>
      <c r="P8" s="192"/>
    </row>
    <row r="9" spans="2:16" ht="15.75">
      <c r="B9" s="364" t="str">
        <f>+'DEP-C2'!B9</f>
        <v>Al 31 de marzo de 2024</v>
      </c>
      <c r="C9" s="364"/>
      <c r="D9" s="288"/>
      <c r="E9" s="365">
        <f>+Portada!H39</f>
        <v>3.721</v>
      </c>
      <c r="P9" s="192"/>
    </row>
    <row r="10" spans="2:16" s="76" customFormat="1" ht="9.75" customHeight="1">
      <c r="B10" s="563"/>
      <c r="C10" s="563"/>
      <c r="D10" s="563"/>
      <c r="E10" s="208"/>
      <c r="P10" s="193"/>
    </row>
    <row r="11" spans="2:16" ht="16.5" customHeight="1">
      <c r="B11" s="574" t="s">
        <v>95</v>
      </c>
      <c r="C11" s="656" t="s">
        <v>85</v>
      </c>
      <c r="D11" s="658" t="s">
        <v>161</v>
      </c>
      <c r="P11" s="192"/>
    </row>
    <row r="12" spans="2:16" s="109" customFormat="1" ht="16.5" customHeight="1">
      <c r="B12" s="575"/>
      <c r="C12" s="657"/>
      <c r="D12" s="659"/>
      <c r="E12" s="209"/>
      <c r="P12" s="194"/>
    </row>
    <row r="13" spans="2:16" s="109" customFormat="1" ht="9.75" customHeight="1">
      <c r="B13" s="146"/>
      <c r="C13" s="517"/>
      <c r="D13" s="110"/>
      <c r="E13" s="209"/>
      <c r="P13" s="194"/>
    </row>
    <row r="14" spans="2:16" s="76" customFormat="1" ht="19.5" customHeight="1">
      <c r="B14" s="78" t="s">
        <v>195</v>
      </c>
      <c r="C14" s="501">
        <f>+C16+C34</f>
        <v>8211852.425890001</v>
      </c>
      <c r="D14" s="501">
        <f>+D16+D34</f>
        <v>30556302.876729995</v>
      </c>
      <c r="E14" s="241"/>
      <c r="F14" s="372"/>
      <c r="G14" s="289"/>
      <c r="H14" s="289"/>
      <c r="P14" s="193"/>
    </row>
    <row r="15" spans="2:16" s="76" customFormat="1" ht="9.75" customHeight="1">
      <c r="B15" s="78"/>
      <c r="C15" s="502"/>
      <c r="D15" s="501"/>
      <c r="E15" s="241"/>
      <c r="F15" s="373"/>
      <c r="G15" s="289"/>
      <c r="H15" s="289"/>
      <c r="P15" s="193"/>
    </row>
    <row r="16" spans="2:16" s="76" customFormat="1" ht="16.5" customHeight="1">
      <c r="B16" s="77" t="s">
        <v>64</v>
      </c>
      <c r="C16" s="502">
        <f>SUM(C17:C32)</f>
        <v>4231168.273079999</v>
      </c>
      <c r="D16" s="502">
        <f>SUM(D17:D32)</f>
        <v>15744177.144119997</v>
      </c>
      <c r="E16" s="441"/>
      <c r="F16" s="441"/>
      <c r="P16" s="193"/>
    </row>
    <row r="17" spans="2:16" s="76" customFormat="1" ht="16.5" customHeight="1">
      <c r="B17" s="546" t="s">
        <v>194</v>
      </c>
      <c r="C17" s="668">
        <v>4011111.11108</v>
      </c>
      <c r="D17" s="516">
        <f aca="true" t="shared" si="0" ref="D17:D32">ROUND(+C17*$E$9,5)</f>
        <v>14925344.44433</v>
      </c>
      <c r="E17" s="441"/>
      <c r="F17" s="441"/>
      <c r="P17" s="193"/>
    </row>
    <row r="18" spans="2:16" s="76" customFormat="1" ht="16.5" customHeight="1">
      <c r="B18" s="546" t="s">
        <v>202</v>
      </c>
      <c r="C18" s="668">
        <v>63292.18817</v>
      </c>
      <c r="D18" s="516">
        <f t="shared" si="0"/>
        <v>235510.23218</v>
      </c>
      <c r="E18" s="441"/>
      <c r="F18" s="441"/>
      <c r="P18" s="193"/>
    </row>
    <row r="19" spans="2:16" s="76" customFormat="1" ht="16.5" customHeight="1">
      <c r="B19" s="546" t="s">
        <v>193</v>
      </c>
      <c r="C19" s="668">
        <v>30477.896220000002</v>
      </c>
      <c r="D19" s="516">
        <f t="shared" si="0"/>
        <v>113408.25183</v>
      </c>
      <c r="E19" s="441"/>
      <c r="F19" s="441"/>
      <c r="P19" s="193"/>
    </row>
    <row r="20" spans="2:16" s="76" customFormat="1" ht="16.5" customHeight="1">
      <c r="B20" s="546" t="s">
        <v>248</v>
      </c>
      <c r="C20" s="668">
        <v>27129.803819999997</v>
      </c>
      <c r="D20" s="516">
        <f t="shared" si="0"/>
        <v>100950.00001</v>
      </c>
      <c r="E20" s="441"/>
      <c r="F20" s="441"/>
      <c r="P20" s="193"/>
    </row>
    <row r="21" spans="2:16" s="76" customFormat="1" ht="16.5" customHeight="1">
      <c r="B21" s="546" t="s">
        <v>190</v>
      </c>
      <c r="C21" s="668">
        <v>25828.28652</v>
      </c>
      <c r="D21" s="516">
        <f t="shared" si="0"/>
        <v>96107.05414</v>
      </c>
      <c r="E21" s="441"/>
      <c r="F21" s="441"/>
      <c r="P21" s="193"/>
    </row>
    <row r="22" spans="2:16" s="76" customFormat="1" ht="16.5" customHeight="1">
      <c r="B22" s="546" t="s">
        <v>189</v>
      </c>
      <c r="C22" s="668">
        <v>17283.27669</v>
      </c>
      <c r="D22" s="516">
        <f t="shared" si="0"/>
        <v>64311.07256</v>
      </c>
      <c r="E22" s="441"/>
      <c r="F22" s="441"/>
      <c r="P22" s="193"/>
    </row>
    <row r="23" spans="2:16" s="76" customFormat="1" ht="16.5" customHeight="1">
      <c r="B23" s="546" t="s">
        <v>244</v>
      </c>
      <c r="C23" s="668">
        <v>15452.835259999998</v>
      </c>
      <c r="D23" s="516">
        <f t="shared" si="0"/>
        <v>57500</v>
      </c>
      <c r="E23" s="441"/>
      <c r="F23" s="441"/>
      <c r="P23" s="193"/>
    </row>
    <row r="24" spans="2:16" s="76" customFormat="1" ht="16.5" customHeight="1">
      <c r="B24" s="546" t="s">
        <v>165</v>
      </c>
      <c r="C24" s="668">
        <v>12150.516910000002</v>
      </c>
      <c r="D24" s="516">
        <f t="shared" si="0"/>
        <v>45212.07342</v>
      </c>
      <c r="E24" s="441"/>
      <c r="F24" s="441"/>
      <c r="P24" s="193"/>
    </row>
    <row r="25" spans="2:16" s="76" customFormat="1" ht="16.5" customHeight="1">
      <c r="B25" s="546" t="s">
        <v>164</v>
      </c>
      <c r="C25" s="668">
        <v>7432.27975</v>
      </c>
      <c r="D25" s="516">
        <f t="shared" si="0"/>
        <v>27655.51295</v>
      </c>
      <c r="E25" s="441"/>
      <c r="F25" s="441"/>
      <c r="P25" s="193"/>
    </row>
    <row r="26" spans="2:16" s="76" customFormat="1" ht="16.5" customHeight="1">
      <c r="B26" s="546" t="s">
        <v>201</v>
      </c>
      <c r="C26" s="668">
        <v>5033.73387</v>
      </c>
      <c r="D26" s="516">
        <f t="shared" si="0"/>
        <v>18730.52373</v>
      </c>
      <c r="E26" s="441"/>
      <c r="F26" s="441"/>
      <c r="P26" s="193"/>
    </row>
    <row r="27" spans="2:16" s="76" customFormat="1" ht="16.5" customHeight="1">
      <c r="B27" s="546" t="s">
        <v>191</v>
      </c>
      <c r="C27" s="668">
        <v>4452.55047</v>
      </c>
      <c r="D27" s="516">
        <f t="shared" si="0"/>
        <v>16567.9403</v>
      </c>
      <c r="E27" s="441"/>
      <c r="F27" s="441"/>
      <c r="P27" s="193"/>
    </row>
    <row r="28" spans="2:16" s="76" customFormat="1" ht="16.5" customHeight="1">
      <c r="B28" s="546" t="s">
        <v>240</v>
      </c>
      <c r="C28" s="668">
        <v>4031.17442</v>
      </c>
      <c r="D28" s="516">
        <f t="shared" si="0"/>
        <v>15000.00002</v>
      </c>
      <c r="E28" s="441"/>
      <c r="F28" s="441"/>
      <c r="P28" s="193"/>
    </row>
    <row r="29" spans="2:16" s="76" customFormat="1" ht="16.5" customHeight="1">
      <c r="B29" s="546" t="s">
        <v>228</v>
      </c>
      <c r="C29" s="668">
        <v>2574.83269</v>
      </c>
      <c r="D29" s="516">
        <f t="shared" si="0"/>
        <v>9580.95244</v>
      </c>
      <c r="E29" s="441"/>
      <c r="F29" s="441"/>
      <c r="P29" s="193"/>
    </row>
    <row r="30" spans="2:16" s="76" customFormat="1" ht="16.5" customHeight="1">
      <c r="B30" s="546" t="s">
        <v>192</v>
      </c>
      <c r="C30" s="668">
        <v>2361.45377</v>
      </c>
      <c r="D30" s="516">
        <f t="shared" si="0"/>
        <v>8786.96948</v>
      </c>
      <c r="E30" s="441"/>
      <c r="F30" s="441"/>
      <c r="P30" s="193"/>
    </row>
    <row r="31" spans="2:16" s="76" customFormat="1" ht="16.5" customHeight="1">
      <c r="B31" s="546" t="s">
        <v>48</v>
      </c>
      <c r="C31" s="668">
        <v>2018.8435200000001</v>
      </c>
      <c r="D31" s="516">
        <f t="shared" si="0"/>
        <v>7512.11674</v>
      </c>
      <c r="E31" s="441"/>
      <c r="F31" s="441"/>
      <c r="P31" s="193"/>
    </row>
    <row r="32" spans="2:16" s="76" customFormat="1" ht="16.5" customHeight="1">
      <c r="B32" s="546" t="s">
        <v>236</v>
      </c>
      <c r="C32" s="668">
        <v>537.4899200000001</v>
      </c>
      <c r="D32" s="516">
        <f t="shared" si="0"/>
        <v>1999.99999</v>
      </c>
      <c r="E32" s="441"/>
      <c r="F32" s="441"/>
      <c r="P32" s="193"/>
    </row>
    <row r="33" spans="2:16" s="76" customFormat="1" ht="12" customHeight="1">
      <c r="B33" s="290"/>
      <c r="C33" s="503"/>
      <c r="D33" s="503"/>
      <c r="E33" s="441"/>
      <c r="F33" s="441"/>
      <c r="P33" s="193"/>
    </row>
    <row r="34" spans="2:16" s="76" customFormat="1" ht="16.5" customHeight="1">
      <c r="B34" s="77" t="s">
        <v>25</v>
      </c>
      <c r="C34" s="502">
        <f>SUM(C35:C37)</f>
        <v>3980684.1528100013</v>
      </c>
      <c r="D34" s="502">
        <f>+SUM(D35:D37)</f>
        <v>14812125.732609998</v>
      </c>
      <c r="E34" s="441"/>
      <c r="F34" s="441"/>
      <c r="P34" s="193"/>
    </row>
    <row r="35" spans="2:16" s="76" customFormat="1" ht="16.5" customHeight="1">
      <c r="B35" s="367" t="s">
        <v>166</v>
      </c>
      <c r="C35" s="668">
        <v>2129934.17172</v>
      </c>
      <c r="D35" s="516">
        <f>ROUND(+C35*$E$9,5)</f>
        <v>7925485.05297</v>
      </c>
      <c r="E35" s="441"/>
      <c r="F35" s="441"/>
      <c r="P35" s="193"/>
    </row>
    <row r="36" spans="2:16" s="76" customFormat="1" ht="16.5" customHeight="1">
      <c r="B36" s="514" t="s">
        <v>203</v>
      </c>
      <c r="C36" s="668">
        <v>1840614.4568100015</v>
      </c>
      <c r="D36" s="516">
        <f>ROUND(+C36*$E$9,5)</f>
        <v>6848926.39379</v>
      </c>
      <c r="E36" s="241"/>
      <c r="F36" s="374"/>
      <c r="P36" s="193"/>
    </row>
    <row r="37" spans="2:16" s="76" customFormat="1" ht="16.5" customHeight="1">
      <c r="B37" s="514" t="s">
        <v>122</v>
      </c>
      <c r="C37" s="668">
        <v>10135.524280000001</v>
      </c>
      <c r="D37" s="516">
        <f>ROUND(+C37*$E$9,5)</f>
        <v>37714.28585</v>
      </c>
      <c r="E37" s="241"/>
      <c r="F37" s="374"/>
      <c r="P37" s="193"/>
    </row>
    <row r="38" spans="2:16" s="76" customFormat="1" ht="15" customHeight="1">
      <c r="B38" s="290"/>
      <c r="C38" s="504"/>
      <c r="D38" s="504"/>
      <c r="E38" s="241"/>
      <c r="F38" s="374"/>
      <c r="P38" s="193"/>
    </row>
    <row r="39" spans="2:16" s="76" customFormat="1" ht="19.5" customHeight="1">
      <c r="B39" s="78" t="s">
        <v>196</v>
      </c>
      <c r="C39" s="501">
        <f>+C41+C53</f>
        <v>353589.01629999996</v>
      </c>
      <c r="D39" s="501">
        <f>+D41+D53</f>
        <v>1315704.7296300002</v>
      </c>
      <c r="E39" s="241"/>
      <c r="F39" s="374"/>
      <c r="P39" s="193"/>
    </row>
    <row r="40" spans="2:16" s="76" customFormat="1" ht="9.75" customHeight="1">
      <c r="B40" s="78"/>
      <c r="C40" s="501"/>
      <c r="D40" s="501"/>
      <c r="E40" s="241"/>
      <c r="F40" s="374"/>
      <c r="P40" s="193"/>
    </row>
    <row r="41" spans="2:16" s="76" customFormat="1" ht="16.5" customHeight="1">
      <c r="B41" s="77" t="s">
        <v>24</v>
      </c>
      <c r="C41" s="502">
        <f>SUM(C42:C51)</f>
        <v>323243.51555999997</v>
      </c>
      <c r="D41" s="502">
        <f>SUM(D42:D51)</f>
        <v>1202789.1213800001</v>
      </c>
      <c r="E41" s="241"/>
      <c r="F41" s="241"/>
      <c r="P41" s="193"/>
    </row>
    <row r="42" spans="2:16" s="76" customFormat="1" ht="16.5" customHeight="1">
      <c r="B42" s="546" t="s">
        <v>202</v>
      </c>
      <c r="C42" s="668">
        <v>314108.78962999996</v>
      </c>
      <c r="D42" s="516">
        <f aca="true" t="shared" si="1" ref="D42:D51">ROUND(+C42*$E$9,5)</f>
        <v>1168798.80621</v>
      </c>
      <c r="E42" s="241"/>
      <c r="F42" s="241"/>
      <c r="P42" s="193"/>
    </row>
    <row r="43" spans="2:16" s="76" customFormat="1" ht="16.5" customHeight="1">
      <c r="B43" s="334" t="s">
        <v>67</v>
      </c>
      <c r="C43" s="668">
        <v>2683.3102</v>
      </c>
      <c r="D43" s="516">
        <f t="shared" si="1"/>
        <v>9984.59725</v>
      </c>
      <c r="E43" s="241"/>
      <c r="F43" s="241"/>
      <c r="P43" s="193"/>
    </row>
    <row r="44" spans="2:16" s="76" customFormat="1" ht="16.5" customHeight="1">
      <c r="B44" s="334" t="s">
        <v>199</v>
      </c>
      <c r="C44" s="668">
        <v>2412.61758</v>
      </c>
      <c r="D44" s="516">
        <f t="shared" si="1"/>
        <v>8977.35002</v>
      </c>
      <c r="E44" s="241"/>
      <c r="F44" s="241"/>
      <c r="P44" s="193"/>
    </row>
    <row r="45" spans="2:16" s="76" customFormat="1" ht="16.5" customHeight="1">
      <c r="B45" s="334" t="s">
        <v>43</v>
      </c>
      <c r="C45" s="668">
        <v>1593.81289</v>
      </c>
      <c r="D45" s="516">
        <f t="shared" si="1"/>
        <v>5930.57776</v>
      </c>
      <c r="E45" s="241"/>
      <c r="F45" s="241"/>
      <c r="P45" s="193"/>
    </row>
    <row r="46" spans="2:16" s="76" customFormat="1" ht="16.5" customHeight="1">
      <c r="B46" s="334" t="s">
        <v>50</v>
      </c>
      <c r="C46" s="668">
        <v>1102.59622</v>
      </c>
      <c r="D46" s="516">
        <f t="shared" si="1"/>
        <v>4102.76053</v>
      </c>
      <c r="E46" s="241"/>
      <c r="F46" s="241"/>
      <c r="P46" s="193"/>
    </row>
    <row r="47" spans="2:16" s="76" customFormat="1" ht="16.5" customHeight="1">
      <c r="B47" s="334" t="s">
        <v>155</v>
      </c>
      <c r="C47" s="668">
        <v>486.78737</v>
      </c>
      <c r="D47" s="516">
        <f t="shared" si="1"/>
        <v>1811.3358</v>
      </c>
      <c r="E47" s="241"/>
      <c r="F47" s="241"/>
      <c r="P47" s="193"/>
    </row>
    <row r="48" spans="2:16" s="76" customFormat="1" ht="16.5" customHeight="1">
      <c r="B48" s="334" t="s">
        <v>200</v>
      </c>
      <c r="C48" s="668">
        <v>414.4734</v>
      </c>
      <c r="D48" s="516">
        <f t="shared" si="1"/>
        <v>1542.25552</v>
      </c>
      <c r="E48" s="241"/>
      <c r="F48" s="241"/>
      <c r="P48" s="193"/>
    </row>
    <row r="49" spans="2:16" s="76" customFormat="1" ht="16.5" customHeight="1">
      <c r="B49" s="334" t="s">
        <v>221</v>
      </c>
      <c r="C49" s="668">
        <v>384.04331</v>
      </c>
      <c r="D49" s="516">
        <f t="shared" si="1"/>
        <v>1429.02516</v>
      </c>
      <c r="E49" s="241"/>
      <c r="F49" s="241"/>
      <c r="P49" s="193"/>
    </row>
    <row r="50" spans="2:16" s="76" customFormat="1" ht="16.5" customHeight="1">
      <c r="B50" s="334" t="s">
        <v>201</v>
      </c>
      <c r="C50" s="668">
        <v>56.10562</v>
      </c>
      <c r="D50" s="516">
        <f t="shared" si="1"/>
        <v>208.76901</v>
      </c>
      <c r="E50" s="241"/>
      <c r="F50" s="241"/>
      <c r="P50" s="193"/>
    </row>
    <row r="51" spans="2:16" s="76" customFormat="1" ht="16.5" customHeight="1">
      <c r="B51" s="334" t="s">
        <v>42</v>
      </c>
      <c r="C51" s="668">
        <v>0.97934</v>
      </c>
      <c r="D51" s="516">
        <f t="shared" si="1"/>
        <v>3.64412</v>
      </c>
      <c r="E51" s="241"/>
      <c r="F51" s="241"/>
      <c r="P51" s="193"/>
    </row>
    <row r="52" spans="2:16" s="76" customFormat="1" ht="12" customHeight="1">
      <c r="B52" s="375"/>
      <c r="C52" s="503"/>
      <c r="D52" s="503"/>
      <c r="E52" s="241"/>
      <c r="F52" s="241"/>
      <c r="G52" s="431"/>
      <c r="P52" s="193"/>
    </row>
    <row r="53" spans="2:16" s="76" customFormat="1" ht="16.5" customHeight="1">
      <c r="B53" s="77" t="s">
        <v>25</v>
      </c>
      <c r="C53" s="502">
        <f>+C54</f>
        <v>30345.50074</v>
      </c>
      <c r="D53" s="502">
        <f>+D54</f>
        <v>112915.60825</v>
      </c>
      <c r="E53" s="241"/>
      <c r="F53" s="430"/>
      <c r="P53" s="193"/>
    </row>
    <row r="54" spans="2:16" s="76" customFormat="1" ht="16.5" customHeight="1">
      <c r="B54" s="367" t="s">
        <v>203</v>
      </c>
      <c r="C54" s="515">
        <v>30345.50074</v>
      </c>
      <c r="D54" s="516">
        <f>ROUND(+C54*$E$9,5)</f>
        <v>112915.60825</v>
      </c>
      <c r="E54" s="241"/>
      <c r="F54" s="374"/>
      <c r="P54" s="193"/>
    </row>
    <row r="55" spans="2:16" s="76" customFormat="1" ht="9.75" customHeight="1">
      <c r="B55" s="75"/>
      <c r="C55" s="505"/>
      <c r="D55" s="505"/>
      <c r="E55" s="241"/>
      <c r="F55" s="374"/>
      <c r="P55" s="193"/>
    </row>
    <row r="56" spans="2:16" s="76" customFormat="1" ht="18" customHeight="1" hidden="1">
      <c r="B56" s="147"/>
      <c r="C56" s="516"/>
      <c r="D56" s="516"/>
      <c r="E56" s="241"/>
      <c r="F56" s="374"/>
      <c r="P56" s="193"/>
    </row>
    <row r="57" spans="2:16" s="76" customFormat="1" ht="21.75" customHeight="1" hidden="1">
      <c r="B57" s="78" t="s">
        <v>110</v>
      </c>
      <c r="C57" s="501">
        <f>+C58</f>
        <v>0</v>
      </c>
      <c r="D57" s="501">
        <f>+D58</f>
        <v>0</v>
      </c>
      <c r="E57" s="241"/>
      <c r="F57" s="374"/>
      <c r="H57" s="291"/>
      <c r="P57" s="193"/>
    </row>
    <row r="58" spans="2:16" s="76" customFormat="1" ht="21.75" customHeight="1" hidden="1">
      <c r="B58" s="75" t="s">
        <v>64</v>
      </c>
      <c r="C58" s="505">
        <f>+C59</f>
        <v>0</v>
      </c>
      <c r="D58" s="505">
        <f>+D59</f>
        <v>0</v>
      </c>
      <c r="E58" s="241"/>
      <c r="F58" s="374"/>
      <c r="H58" s="291"/>
      <c r="P58" s="193"/>
    </row>
    <row r="59" spans="2:16" s="76" customFormat="1" ht="21.75" customHeight="1" hidden="1">
      <c r="B59" s="290" t="s">
        <v>107</v>
      </c>
      <c r="C59" s="503">
        <v>0</v>
      </c>
      <c r="D59" s="503">
        <f>+C59*$E$9</f>
        <v>0</v>
      </c>
      <c r="E59" s="241"/>
      <c r="F59" s="374"/>
      <c r="H59" s="291"/>
      <c r="P59" s="193"/>
    </row>
    <row r="60" spans="2:16" s="76" customFormat="1" ht="19.5" customHeight="1" hidden="1">
      <c r="B60" s="147"/>
      <c r="C60" s="516"/>
      <c r="D60" s="516"/>
      <c r="E60" s="241"/>
      <c r="F60" s="374"/>
      <c r="P60" s="193"/>
    </row>
    <row r="61" spans="2:16" s="76" customFormat="1" ht="21.75" customHeight="1" hidden="1">
      <c r="B61" s="78" t="s">
        <v>135</v>
      </c>
      <c r="C61" s="501">
        <f>+C62+C86</f>
        <v>0</v>
      </c>
      <c r="D61" s="501">
        <f>+D62+D86</f>
        <v>0</v>
      </c>
      <c r="E61" s="241"/>
      <c r="F61" s="374"/>
      <c r="P61" s="193"/>
    </row>
    <row r="62" spans="2:16" s="76" customFormat="1" ht="21.75" customHeight="1" hidden="1">
      <c r="B62" s="77" t="s">
        <v>24</v>
      </c>
      <c r="C62" s="502">
        <f>SUM(C63:C84)</f>
        <v>0</v>
      </c>
      <c r="D62" s="502">
        <f>SUM(D63:D84)</f>
        <v>0</v>
      </c>
      <c r="E62" s="241"/>
      <c r="F62" s="374"/>
      <c r="P62" s="193"/>
    </row>
    <row r="63" spans="2:16" s="76" customFormat="1" ht="21.75" customHeight="1" hidden="1">
      <c r="B63" s="290" t="s">
        <v>106</v>
      </c>
      <c r="C63" s="503"/>
      <c r="D63" s="503">
        <f aca="true" t="shared" si="2" ref="D63:D84">+C63*$E$9</f>
        <v>0</v>
      </c>
      <c r="E63" s="241"/>
      <c r="F63" s="374"/>
      <c r="P63" s="193"/>
    </row>
    <row r="64" spans="2:16" s="76" customFormat="1" ht="21.75" customHeight="1" hidden="1">
      <c r="B64" s="290" t="s">
        <v>38</v>
      </c>
      <c r="C64" s="503"/>
      <c r="D64" s="503">
        <f t="shared" si="2"/>
        <v>0</v>
      </c>
      <c r="E64" s="241"/>
      <c r="F64" s="374"/>
      <c r="P64" s="193"/>
    </row>
    <row r="65" spans="2:16" s="76" customFormat="1" ht="21.75" customHeight="1" hidden="1">
      <c r="B65" s="290" t="s">
        <v>39</v>
      </c>
      <c r="C65" s="503"/>
      <c r="D65" s="503">
        <f t="shared" si="2"/>
        <v>0</v>
      </c>
      <c r="E65" s="241"/>
      <c r="F65" s="374"/>
      <c r="P65" s="193"/>
    </row>
    <row r="66" spans="2:16" s="76" customFormat="1" ht="21.75" customHeight="1" hidden="1">
      <c r="B66" s="290" t="s">
        <v>41</v>
      </c>
      <c r="C66" s="503"/>
      <c r="D66" s="503">
        <f t="shared" si="2"/>
        <v>0</v>
      </c>
      <c r="E66" s="241"/>
      <c r="F66" s="374"/>
      <c r="P66" s="193"/>
    </row>
    <row r="67" spans="2:16" s="76" customFormat="1" ht="21.75" customHeight="1" hidden="1">
      <c r="B67" s="290" t="s">
        <v>142</v>
      </c>
      <c r="C67" s="503"/>
      <c r="D67" s="503">
        <f t="shared" si="2"/>
        <v>0</v>
      </c>
      <c r="E67" s="241"/>
      <c r="F67" s="374"/>
      <c r="P67" s="193"/>
    </row>
    <row r="68" spans="2:16" s="76" customFormat="1" ht="21.75" customHeight="1" hidden="1">
      <c r="B68" s="290" t="s">
        <v>40</v>
      </c>
      <c r="C68" s="503"/>
      <c r="D68" s="503">
        <f t="shared" si="2"/>
        <v>0</v>
      </c>
      <c r="E68" s="241"/>
      <c r="F68" s="374"/>
      <c r="P68" s="193"/>
    </row>
    <row r="69" spans="2:16" s="76" customFormat="1" ht="21.75" customHeight="1" hidden="1">
      <c r="B69" s="290" t="s">
        <v>44</v>
      </c>
      <c r="C69" s="503"/>
      <c r="D69" s="503">
        <f t="shared" si="2"/>
        <v>0</v>
      </c>
      <c r="E69" s="241"/>
      <c r="F69" s="374"/>
      <c r="P69" s="193"/>
    </row>
    <row r="70" spans="2:16" s="76" customFormat="1" ht="21.75" customHeight="1" hidden="1">
      <c r="B70" s="290" t="s">
        <v>67</v>
      </c>
      <c r="C70" s="503"/>
      <c r="D70" s="503">
        <f t="shared" si="2"/>
        <v>0</v>
      </c>
      <c r="E70" s="241"/>
      <c r="F70" s="374"/>
      <c r="P70" s="193"/>
    </row>
    <row r="71" spans="2:16" s="76" customFormat="1" ht="21.75" customHeight="1" hidden="1">
      <c r="B71" s="290" t="s">
        <v>46</v>
      </c>
      <c r="C71" s="503"/>
      <c r="D71" s="503">
        <f t="shared" si="2"/>
        <v>0</v>
      </c>
      <c r="E71" s="241"/>
      <c r="F71" s="374"/>
      <c r="P71" s="193"/>
    </row>
    <row r="72" spans="2:16" s="76" customFormat="1" ht="21.75" customHeight="1" hidden="1">
      <c r="B72" s="290" t="s">
        <v>42</v>
      </c>
      <c r="C72" s="503"/>
      <c r="D72" s="503">
        <f t="shared" si="2"/>
        <v>0</v>
      </c>
      <c r="E72" s="241"/>
      <c r="F72" s="374"/>
      <c r="P72" s="193"/>
    </row>
    <row r="73" spans="2:16" s="76" customFormat="1" ht="21.75" customHeight="1" hidden="1">
      <c r="B73" s="290" t="s">
        <v>43</v>
      </c>
      <c r="C73" s="503"/>
      <c r="D73" s="503">
        <f t="shared" si="2"/>
        <v>0</v>
      </c>
      <c r="E73" s="241"/>
      <c r="F73" s="374"/>
      <c r="P73" s="193"/>
    </row>
    <row r="74" spans="2:16" s="76" customFormat="1" ht="21.75" customHeight="1" hidden="1">
      <c r="B74" s="290" t="s">
        <v>47</v>
      </c>
      <c r="C74" s="503"/>
      <c r="D74" s="503">
        <f t="shared" si="2"/>
        <v>0</v>
      </c>
      <c r="E74" s="241"/>
      <c r="F74" s="374"/>
      <c r="P74" s="193"/>
    </row>
    <row r="75" spans="2:16" s="76" customFormat="1" ht="21.75" customHeight="1" hidden="1">
      <c r="B75" s="290" t="s">
        <v>50</v>
      </c>
      <c r="C75" s="503"/>
      <c r="D75" s="503">
        <f t="shared" si="2"/>
        <v>0</v>
      </c>
      <c r="E75" s="241"/>
      <c r="F75" s="374"/>
      <c r="P75" s="193"/>
    </row>
    <row r="76" spans="2:16" s="76" customFormat="1" ht="21.75" customHeight="1" hidden="1">
      <c r="B76" s="290" t="s">
        <v>155</v>
      </c>
      <c r="C76" s="503"/>
      <c r="D76" s="503">
        <f t="shared" si="2"/>
        <v>0</v>
      </c>
      <c r="E76" s="241"/>
      <c r="F76" s="374"/>
      <c r="P76" s="193"/>
    </row>
    <row r="77" spans="2:16" s="76" customFormat="1" ht="21.75" customHeight="1" hidden="1">
      <c r="B77" s="290" t="s">
        <v>52</v>
      </c>
      <c r="C77" s="503"/>
      <c r="D77" s="503">
        <f t="shared" si="2"/>
        <v>0</v>
      </c>
      <c r="E77" s="241"/>
      <c r="F77" s="374"/>
      <c r="P77" s="193"/>
    </row>
    <row r="78" spans="2:16" s="76" customFormat="1" ht="21.75" customHeight="1" hidden="1">
      <c r="B78" s="290" t="s">
        <v>54</v>
      </c>
      <c r="C78" s="503"/>
      <c r="D78" s="503">
        <f t="shared" si="2"/>
        <v>0</v>
      </c>
      <c r="E78" s="241"/>
      <c r="F78" s="374"/>
      <c r="P78" s="193"/>
    </row>
    <row r="79" spans="2:16" s="76" customFormat="1" ht="21.75" customHeight="1" hidden="1">
      <c r="B79" s="290" t="s">
        <v>45</v>
      </c>
      <c r="C79" s="503"/>
      <c r="D79" s="503">
        <f t="shared" si="2"/>
        <v>0</v>
      </c>
      <c r="E79" s="241"/>
      <c r="F79" s="374"/>
      <c r="P79" s="193"/>
    </row>
    <row r="80" spans="2:16" s="76" customFormat="1" ht="21.75" customHeight="1" hidden="1">
      <c r="B80" s="290" t="s">
        <v>49</v>
      </c>
      <c r="C80" s="503"/>
      <c r="D80" s="503">
        <f t="shared" si="2"/>
        <v>0</v>
      </c>
      <c r="E80" s="241"/>
      <c r="F80" s="374"/>
      <c r="P80" s="193"/>
    </row>
    <row r="81" spans="2:16" s="76" customFormat="1" ht="21.75" customHeight="1" hidden="1">
      <c r="B81" s="290" t="s">
        <v>56</v>
      </c>
      <c r="C81" s="503"/>
      <c r="D81" s="503">
        <f t="shared" si="2"/>
        <v>0</v>
      </c>
      <c r="E81" s="241"/>
      <c r="F81" s="374"/>
      <c r="P81" s="193"/>
    </row>
    <row r="82" spans="2:16" s="76" customFormat="1" ht="21.75" customHeight="1" hidden="1">
      <c r="B82" s="290" t="s">
        <v>51</v>
      </c>
      <c r="C82" s="503"/>
      <c r="D82" s="503">
        <f t="shared" si="2"/>
        <v>0</v>
      </c>
      <c r="E82" s="241"/>
      <c r="F82" s="374"/>
      <c r="P82" s="193"/>
    </row>
    <row r="83" spans="2:16" s="76" customFormat="1" ht="21.75" customHeight="1" hidden="1">
      <c r="B83" s="290" t="s">
        <v>53</v>
      </c>
      <c r="C83" s="503"/>
      <c r="D83" s="503">
        <f t="shared" si="2"/>
        <v>0</v>
      </c>
      <c r="E83" s="241"/>
      <c r="F83" s="374"/>
      <c r="P83" s="193"/>
    </row>
    <row r="84" spans="2:16" s="76" customFormat="1" ht="21.75" customHeight="1" hidden="1">
      <c r="B84" s="290" t="s">
        <v>55</v>
      </c>
      <c r="C84" s="503"/>
      <c r="D84" s="503">
        <f t="shared" si="2"/>
        <v>0</v>
      </c>
      <c r="E84" s="241"/>
      <c r="F84" s="374"/>
      <c r="P84" s="193"/>
    </row>
    <row r="85" spans="2:16" s="76" customFormat="1" ht="9.75" customHeight="1" hidden="1">
      <c r="B85" s="75"/>
      <c r="C85" s="505"/>
      <c r="D85" s="505"/>
      <c r="E85" s="241"/>
      <c r="F85" s="374"/>
      <c r="P85" s="193"/>
    </row>
    <row r="86" spans="2:16" s="76" customFormat="1" ht="21.75" customHeight="1" hidden="1">
      <c r="B86" s="77" t="s">
        <v>25</v>
      </c>
      <c r="C86" s="502">
        <f>+C87</f>
        <v>0</v>
      </c>
      <c r="D86" s="502">
        <f>+D87</f>
        <v>0</v>
      </c>
      <c r="E86" s="241"/>
      <c r="F86" s="374"/>
      <c r="P86" s="193"/>
    </row>
    <row r="87" spans="2:16" s="76" customFormat="1" ht="21.75" customHeight="1" hidden="1">
      <c r="B87" s="290" t="s">
        <v>105</v>
      </c>
      <c r="C87" s="503"/>
      <c r="D87" s="503">
        <f>+C87*$E$9</f>
        <v>0</v>
      </c>
      <c r="E87" s="241"/>
      <c r="F87" s="374"/>
      <c r="P87" s="193"/>
    </row>
    <row r="88" spans="2:16" s="76" customFormat="1" ht="4.5" customHeight="1">
      <c r="B88" s="147"/>
      <c r="C88" s="516"/>
      <c r="D88" s="516"/>
      <c r="E88" s="241"/>
      <c r="F88" s="374"/>
      <c r="P88" s="193"/>
    </row>
    <row r="89" spans="2:16" s="76" customFormat="1" ht="15" customHeight="1">
      <c r="B89" s="664" t="s">
        <v>28</v>
      </c>
      <c r="C89" s="662">
        <f>C14+C39</f>
        <v>8565441.44219</v>
      </c>
      <c r="D89" s="662">
        <f>+D14+D39</f>
        <v>31872007.606359996</v>
      </c>
      <c r="E89" s="241"/>
      <c r="F89" s="374"/>
      <c r="P89" s="193"/>
    </row>
    <row r="90" spans="2:16" s="109" customFormat="1" ht="15" customHeight="1">
      <c r="B90" s="665"/>
      <c r="C90" s="666"/>
      <c r="D90" s="666"/>
      <c r="E90" s="241"/>
      <c r="F90" s="374"/>
      <c r="G90" s="76"/>
      <c r="P90" s="194"/>
    </row>
    <row r="91" spans="2:16" s="76" customFormat="1" ht="7.5" customHeight="1">
      <c r="B91" s="148"/>
      <c r="C91" s="99"/>
      <c r="D91" s="99"/>
      <c r="E91" s="241"/>
      <c r="F91" s="374"/>
      <c r="P91" s="193"/>
    </row>
    <row r="92" spans="1:16" ht="14.25" customHeight="1">
      <c r="A92" s="292"/>
      <c r="B92" s="293" t="s">
        <v>197</v>
      </c>
      <c r="C92" s="304"/>
      <c r="D92" s="294"/>
      <c r="E92" s="241"/>
      <c r="F92" s="374"/>
      <c r="G92" s="76"/>
      <c r="P92" s="192"/>
    </row>
    <row r="93" spans="1:16" ht="14.25" customHeight="1">
      <c r="A93" s="292"/>
      <c r="B93" s="293" t="s">
        <v>198</v>
      </c>
      <c r="C93" s="295"/>
      <c r="D93" s="296"/>
      <c r="E93" s="241"/>
      <c r="F93" s="374"/>
      <c r="G93" s="76"/>
      <c r="P93" s="192"/>
    </row>
    <row r="94" spans="3:16" ht="14.25">
      <c r="C94" s="297"/>
      <c r="D94" s="298"/>
      <c r="E94" s="241"/>
      <c r="F94" s="374"/>
      <c r="G94" s="76"/>
      <c r="P94" s="192"/>
    </row>
    <row r="95" spans="3:16" ht="14.25">
      <c r="C95" s="300"/>
      <c r="D95" s="300"/>
      <c r="E95" s="241"/>
      <c r="F95" s="374"/>
      <c r="G95" s="301"/>
      <c r="H95" s="301"/>
      <c r="P95" s="192"/>
    </row>
    <row r="96" spans="3:16" ht="12.75">
      <c r="C96" s="302"/>
      <c r="D96" s="302"/>
      <c r="G96" s="301"/>
      <c r="H96" s="301"/>
      <c r="P96" s="192"/>
    </row>
    <row r="97" spans="3:16" ht="12.75">
      <c r="C97" s="303"/>
      <c r="D97" s="303"/>
      <c r="H97" s="299"/>
      <c r="P97" s="192"/>
    </row>
    <row r="98" spans="2:16" ht="18">
      <c r="B98" s="361" t="s">
        <v>120</v>
      </c>
      <c r="C98" s="361"/>
      <c r="D98" s="361"/>
      <c r="H98" s="299"/>
      <c r="P98" s="192"/>
    </row>
    <row r="99" spans="2:16" ht="18">
      <c r="B99" s="362" t="s">
        <v>133</v>
      </c>
      <c r="C99" s="362"/>
      <c r="D99" s="362"/>
      <c r="G99" s="301"/>
      <c r="P99" s="192"/>
    </row>
    <row r="100" spans="2:16" ht="18">
      <c r="B100" s="362" t="s">
        <v>134</v>
      </c>
      <c r="C100" s="362"/>
      <c r="D100" s="362"/>
      <c r="P100" s="192"/>
    </row>
    <row r="101" spans="2:16" ht="16.5">
      <c r="B101" s="366" t="s">
        <v>58</v>
      </c>
      <c r="C101" s="363"/>
      <c r="D101" s="363"/>
      <c r="P101" s="192"/>
    </row>
    <row r="102" spans="2:16" ht="15.75">
      <c r="B102" s="364" t="str">
        <f>+B9</f>
        <v>Al 31 de marzo de 2024</v>
      </c>
      <c r="C102" s="364"/>
      <c r="D102" s="288"/>
      <c r="P102" s="192"/>
    </row>
    <row r="103" spans="2:16" s="76" customFormat="1" ht="6.75" customHeight="1">
      <c r="B103" s="563"/>
      <c r="C103" s="563"/>
      <c r="D103" s="563"/>
      <c r="E103" s="208"/>
      <c r="P103" s="193"/>
    </row>
    <row r="104" spans="2:16" ht="16.5" customHeight="1">
      <c r="B104" s="598" t="s">
        <v>95</v>
      </c>
      <c r="C104" s="656" t="s">
        <v>85</v>
      </c>
      <c r="D104" s="658" t="s">
        <v>161</v>
      </c>
      <c r="P104" s="192"/>
    </row>
    <row r="105" spans="2:16" s="109" customFormat="1" ht="16.5" customHeight="1">
      <c r="B105" s="599"/>
      <c r="C105" s="657"/>
      <c r="D105" s="659"/>
      <c r="E105" s="209"/>
      <c r="G105" s="305"/>
      <c r="P105" s="194"/>
    </row>
    <row r="106" spans="2:16" s="109" customFormat="1" ht="9.75" customHeight="1">
      <c r="B106" s="146"/>
      <c r="C106" s="517"/>
      <c r="D106" s="518"/>
      <c r="E106" s="209"/>
      <c r="G106" s="305"/>
      <c r="P106" s="194"/>
    </row>
    <row r="107" spans="2:16" s="76" customFormat="1" ht="19.5" customHeight="1">
      <c r="B107" s="78" t="s">
        <v>195</v>
      </c>
      <c r="C107" s="501">
        <f>+C109+C120</f>
        <v>954806.51409</v>
      </c>
      <c r="D107" s="501">
        <f>+D109+D120</f>
        <v>3552835.0389199997</v>
      </c>
      <c r="E107" s="208"/>
      <c r="G107" s="291"/>
      <c r="H107" s="291"/>
      <c r="P107" s="193"/>
    </row>
    <row r="108" spans="2:16" s="76" customFormat="1" ht="9.75" customHeight="1">
      <c r="B108" s="78"/>
      <c r="C108" s="501"/>
      <c r="D108" s="501"/>
      <c r="E108" s="208"/>
      <c r="G108" s="291"/>
      <c r="H108" s="291"/>
      <c r="P108" s="193"/>
    </row>
    <row r="109" spans="2:16" s="76" customFormat="1" ht="16.5" customHeight="1">
      <c r="B109" s="77" t="s">
        <v>24</v>
      </c>
      <c r="C109" s="502">
        <f>SUM(C110:C118)</f>
        <v>851339.70409</v>
      </c>
      <c r="D109" s="532">
        <f>SUM(D110:D118)</f>
        <v>3167835.0389099997</v>
      </c>
      <c r="E109" s="208"/>
      <c r="F109" s="208"/>
      <c r="G109" s="306"/>
      <c r="H109" s="306"/>
      <c r="P109" s="193"/>
    </row>
    <row r="110" spans="2:16" s="76" customFormat="1" ht="16.5" customHeight="1">
      <c r="B110" s="546" t="s">
        <v>194</v>
      </c>
      <c r="C110" s="668">
        <v>548601.7455300001</v>
      </c>
      <c r="D110" s="533">
        <f aca="true" t="shared" si="3" ref="D110:D118">ROUND(+C110*$E$9,5)</f>
        <v>2041347.09512</v>
      </c>
      <c r="E110" s="208"/>
      <c r="F110" s="208"/>
      <c r="G110" s="306"/>
      <c r="H110" s="306"/>
      <c r="P110" s="193"/>
    </row>
    <row r="111" spans="2:16" s="76" customFormat="1" ht="16.5" customHeight="1">
      <c r="B111" s="547" t="s">
        <v>231</v>
      </c>
      <c r="C111" s="668">
        <v>83122.48791000001</v>
      </c>
      <c r="D111" s="533">
        <f t="shared" si="3"/>
        <v>309298.77751</v>
      </c>
      <c r="E111" s="208"/>
      <c r="F111" s="208"/>
      <c r="G111" s="306"/>
      <c r="H111" s="306"/>
      <c r="P111" s="193"/>
    </row>
    <row r="112" spans="2:16" s="76" customFormat="1" ht="16.5" customHeight="1">
      <c r="B112" s="547" t="s">
        <v>230</v>
      </c>
      <c r="C112" s="668">
        <v>44454.895659999995</v>
      </c>
      <c r="D112" s="533">
        <f t="shared" si="3"/>
        <v>165416.66675</v>
      </c>
      <c r="E112" s="208"/>
      <c r="F112" s="208"/>
      <c r="G112" s="306"/>
      <c r="P112" s="193"/>
    </row>
    <row r="113" spans="2:16" s="76" customFormat="1" ht="16.5" customHeight="1">
      <c r="B113" s="547" t="s">
        <v>233</v>
      </c>
      <c r="C113" s="668">
        <v>40854.65022</v>
      </c>
      <c r="D113" s="533">
        <f t="shared" si="3"/>
        <v>152020.15347</v>
      </c>
      <c r="E113" s="208"/>
      <c r="F113" s="208"/>
      <c r="G113" s="306"/>
      <c r="P113" s="193"/>
    </row>
    <row r="114" spans="2:16" s="76" customFormat="1" ht="16.5" customHeight="1">
      <c r="B114" s="546" t="s">
        <v>164</v>
      </c>
      <c r="C114" s="668">
        <v>39505.509269999995</v>
      </c>
      <c r="D114" s="533">
        <f t="shared" si="3"/>
        <v>146999.99999</v>
      </c>
      <c r="E114" s="208"/>
      <c r="F114" s="208"/>
      <c r="G114" s="306"/>
      <c r="P114" s="193"/>
    </row>
    <row r="115" spans="2:16" s="76" customFormat="1" ht="16.5" customHeight="1">
      <c r="B115" s="547" t="s">
        <v>232</v>
      </c>
      <c r="C115" s="668">
        <v>34246.39946</v>
      </c>
      <c r="D115" s="533">
        <f t="shared" si="3"/>
        <v>127430.85239</v>
      </c>
      <c r="E115" s="208"/>
      <c r="F115" s="208"/>
      <c r="G115" s="306"/>
      <c r="P115" s="193"/>
    </row>
    <row r="116" spans="2:16" s="76" customFormat="1" ht="16.5" customHeight="1">
      <c r="B116" s="547" t="s">
        <v>234</v>
      </c>
      <c r="C116" s="668">
        <v>32249.395329999996</v>
      </c>
      <c r="D116" s="533">
        <f t="shared" si="3"/>
        <v>120000.00002</v>
      </c>
      <c r="E116" s="208"/>
      <c r="F116" s="208"/>
      <c r="G116" s="306"/>
      <c r="P116" s="193"/>
    </row>
    <row r="117" spans="2:16" s="76" customFormat="1" ht="16.5" customHeight="1">
      <c r="B117" s="547" t="s">
        <v>245</v>
      </c>
      <c r="C117" s="668">
        <v>25119.992929999997</v>
      </c>
      <c r="D117" s="533">
        <f t="shared" si="3"/>
        <v>93471.49369</v>
      </c>
      <c r="E117" s="208"/>
      <c r="F117" s="208"/>
      <c r="G117" s="306"/>
      <c r="P117" s="193"/>
    </row>
    <row r="118" spans="2:16" s="76" customFormat="1" ht="16.5" customHeight="1">
      <c r="B118" s="547" t="s">
        <v>243</v>
      </c>
      <c r="C118" s="668">
        <v>3184.62778</v>
      </c>
      <c r="D118" s="533">
        <f t="shared" si="3"/>
        <v>11849.99997</v>
      </c>
      <c r="E118" s="208"/>
      <c r="F118" s="208"/>
      <c r="G118" s="306"/>
      <c r="P118" s="193"/>
    </row>
    <row r="119" spans="2:16" s="76" customFormat="1" ht="12" customHeight="1">
      <c r="B119" s="669"/>
      <c r="C119" s="501"/>
      <c r="D119" s="501"/>
      <c r="E119" s="208"/>
      <c r="F119" s="208"/>
      <c r="G119" s="306"/>
      <c r="P119" s="193"/>
    </row>
    <row r="120" spans="2:16" s="76" customFormat="1" ht="16.5" customHeight="1">
      <c r="B120" s="77" t="s">
        <v>25</v>
      </c>
      <c r="C120" s="502">
        <f>SUM(C121:C121)</f>
        <v>103466.81</v>
      </c>
      <c r="D120" s="502">
        <f>SUM(D121:D121)</f>
        <v>385000.00001</v>
      </c>
      <c r="E120" s="208"/>
      <c r="F120" s="208"/>
      <c r="G120" s="306"/>
      <c r="P120" s="193"/>
    </row>
    <row r="121" spans="2:16" s="76" customFormat="1" ht="16.5" customHeight="1">
      <c r="B121" s="367" t="s">
        <v>166</v>
      </c>
      <c r="C121" s="515">
        <v>103466.81</v>
      </c>
      <c r="D121" s="452">
        <f>ROUND(+C121*$E$9,5)</f>
        <v>385000.00001</v>
      </c>
      <c r="E121" s="208"/>
      <c r="F121" s="208"/>
      <c r="G121" s="306"/>
      <c r="P121" s="193"/>
    </row>
    <row r="122" spans="2:16" s="76" customFormat="1" ht="9.75" customHeight="1">
      <c r="B122" s="147"/>
      <c r="C122" s="519"/>
      <c r="D122" s="533"/>
      <c r="E122" s="208"/>
      <c r="F122" s="208"/>
      <c r="G122" s="306"/>
      <c r="P122" s="193"/>
    </row>
    <row r="123" spans="2:16" s="76" customFormat="1" ht="15" customHeight="1">
      <c r="B123" s="660" t="s">
        <v>28</v>
      </c>
      <c r="C123" s="662">
        <f>+C107</f>
        <v>954806.51409</v>
      </c>
      <c r="D123" s="662">
        <f>+D107</f>
        <v>3552835.0389199997</v>
      </c>
      <c r="E123" s="208"/>
      <c r="F123" s="208"/>
      <c r="G123" s="306"/>
      <c r="P123" s="193"/>
    </row>
    <row r="124" spans="2:16" s="109" customFormat="1" ht="15" customHeight="1">
      <c r="B124" s="661"/>
      <c r="C124" s="663"/>
      <c r="D124" s="663"/>
      <c r="E124" s="208"/>
      <c r="F124" s="431"/>
      <c r="G124" s="306"/>
      <c r="P124" s="194"/>
    </row>
    <row r="125" spans="2:16" s="76" customFormat="1" ht="7.5" customHeight="1">
      <c r="B125" s="148"/>
      <c r="C125" s="99"/>
      <c r="D125" s="99"/>
      <c r="E125" s="208"/>
      <c r="F125" s="431"/>
      <c r="P125" s="193"/>
    </row>
    <row r="126" spans="1:16" ht="14.25" customHeight="1">
      <c r="A126" s="292"/>
      <c r="B126" s="293" t="s">
        <v>197</v>
      </c>
      <c r="C126" s="377"/>
      <c r="D126" s="377"/>
      <c r="P126" s="192"/>
    </row>
    <row r="127" spans="3:16" ht="12.75">
      <c r="C127" s="304"/>
      <c r="D127" s="304"/>
      <c r="P127" s="192"/>
    </row>
  </sheetData>
  <sheetProtection/>
  <mergeCells count="14">
    <mergeCell ref="B10:D10"/>
    <mergeCell ref="B103:D103"/>
    <mergeCell ref="B11:B12"/>
    <mergeCell ref="C11:C12"/>
    <mergeCell ref="D11:D12"/>
    <mergeCell ref="B89:B90"/>
    <mergeCell ref="C89:C90"/>
    <mergeCell ref="D89:D90"/>
    <mergeCell ref="B104:B105"/>
    <mergeCell ref="C104:C105"/>
    <mergeCell ref="D104:D105"/>
    <mergeCell ref="B123:B124"/>
    <mergeCell ref="C123:C124"/>
    <mergeCell ref="D123:D124"/>
  </mergeCells>
  <printOptions horizontalCentered="1"/>
  <pageMargins left="0.1968503937007874" right="0.1968503937007874" top="0.03937007874015748" bottom="0.03937007874015748" header="0.31496062992125984" footer="0.31496062992125984"/>
  <pageSetup fitToHeight="2" horizontalDpi="600" verticalDpi="600" orientation="portrait" paperSize="9" scale="69" r:id="rId2"/>
  <rowBreaks count="1" manualBreakCount="1">
    <brk id="94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18">
      <c r="B6" s="549" t="s">
        <v>18</v>
      </c>
      <c r="C6" s="549"/>
      <c r="D6" s="549"/>
      <c r="E6" s="549"/>
      <c r="F6" s="549"/>
      <c r="G6" s="549"/>
    </row>
    <row r="7" spans="2:7" s="4" customFormat="1" ht="15.75">
      <c r="B7" s="550" t="str">
        <f>+Indice!B7</f>
        <v>AL 31 DE MARZO 2024</v>
      </c>
      <c r="C7" s="550"/>
      <c r="D7" s="550"/>
      <c r="E7" s="550"/>
      <c r="F7" s="550"/>
      <c r="G7" s="550"/>
    </row>
    <row r="8" spans="2:7" ht="12.75">
      <c r="B8" s="84"/>
      <c r="C8" s="84"/>
      <c r="D8" s="84"/>
      <c r="E8" s="84"/>
      <c r="F8" s="84"/>
      <c r="G8" s="84"/>
    </row>
    <row r="9" spans="2:7" ht="54.75" customHeight="1">
      <c r="B9" s="184" t="s">
        <v>2</v>
      </c>
      <c r="C9" s="184" t="s">
        <v>8</v>
      </c>
      <c r="D9" s="552" t="s">
        <v>140</v>
      </c>
      <c r="E9" s="552"/>
      <c r="F9" s="552"/>
      <c r="G9" s="552"/>
    </row>
    <row r="10" spans="2:7" ht="12" customHeight="1">
      <c r="B10" s="52"/>
      <c r="C10" s="52"/>
      <c r="D10" s="53"/>
      <c r="E10" s="53"/>
      <c r="F10" s="53"/>
      <c r="G10" s="53"/>
    </row>
    <row r="11" spans="2:7" ht="15.75" customHeight="1">
      <c r="B11" s="52"/>
      <c r="C11" s="52"/>
      <c r="D11" s="52" t="s">
        <v>128</v>
      </c>
      <c r="E11" s="52"/>
      <c r="F11" s="52"/>
      <c r="G11" s="52"/>
    </row>
    <row r="12" spans="2:7" ht="6" customHeight="1">
      <c r="B12" s="52"/>
      <c r="C12" s="52"/>
      <c r="D12" s="52"/>
      <c r="E12" s="52"/>
      <c r="F12" s="52"/>
      <c r="G12" s="52"/>
    </row>
    <row r="13" spans="2:8" ht="15.75" customHeight="1">
      <c r="B13" s="52"/>
      <c r="C13" s="52"/>
      <c r="D13" s="553" t="s">
        <v>129</v>
      </c>
      <c r="E13" s="553"/>
      <c r="F13" s="553"/>
      <c r="G13" s="553"/>
      <c r="H13" s="553"/>
    </row>
    <row r="14" spans="2:8" ht="15.75" customHeight="1">
      <c r="B14" s="52"/>
      <c r="C14" s="52"/>
      <c r="D14" s="553" t="s">
        <v>130</v>
      </c>
      <c r="E14" s="553"/>
      <c r="F14" s="553"/>
      <c r="G14" s="553"/>
      <c r="H14" s="553"/>
    </row>
    <row r="15" spans="2:7" ht="15.75" customHeight="1">
      <c r="B15" s="52"/>
      <c r="C15" s="52"/>
      <c r="D15" s="29" t="s">
        <v>131</v>
      </c>
      <c r="E15" s="54"/>
      <c r="F15" s="54"/>
      <c r="G15" s="54"/>
    </row>
    <row r="16" spans="2:4" ht="12.75">
      <c r="B16" s="55"/>
      <c r="C16" s="55"/>
      <c r="D16" s="56"/>
    </row>
    <row r="17" spans="1:7" s="30" customFormat="1" ht="18" customHeight="1">
      <c r="A17" s="6"/>
      <c r="B17" s="57" t="s">
        <v>22</v>
      </c>
      <c r="C17" s="52" t="s">
        <v>8</v>
      </c>
      <c r="D17" s="29" t="s">
        <v>257</v>
      </c>
      <c r="E17" s="6"/>
      <c r="F17" s="6"/>
      <c r="G17" s="6"/>
    </row>
    <row r="18" spans="1:7" s="30" customFormat="1" ht="15" customHeight="1">
      <c r="A18" s="6"/>
      <c r="B18" s="57"/>
      <c r="C18" s="52"/>
      <c r="D18" s="62" t="s">
        <v>125</v>
      </c>
      <c r="E18" s="6"/>
      <c r="F18" s="6"/>
      <c r="G18" s="6"/>
    </row>
    <row r="19" spans="1:7" s="30" customFormat="1" ht="15" customHeight="1">
      <c r="A19" s="6"/>
      <c r="B19" s="57"/>
      <c r="C19" s="52"/>
      <c r="D19" s="62" t="s">
        <v>126</v>
      </c>
      <c r="E19" s="6"/>
      <c r="F19" s="6"/>
      <c r="G19" s="6"/>
    </row>
    <row r="20" spans="1:7" s="30" customFormat="1" ht="15" customHeight="1">
      <c r="A20" s="6"/>
      <c r="B20" s="57"/>
      <c r="C20" s="52"/>
      <c r="D20" s="62" t="s">
        <v>127</v>
      </c>
      <c r="E20" s="6"/>
      <c r="F20" s="6"/>
      <c r="G20" s="6"/>
    </row>
    <row r="21" spans="2:4" ht="9" customHeight="1">
      <c r="B21" s="55"/>
      <c r="C21" s="55"/>
      <c r="D21" s="56"/>
    </row>
    <row r="22" spans="1:7" s="30" customFormat="1" ht="23.25" customHeight="1">
      <c r="A22" s="6"/>
      <c r="B22" s="58" t="s">
        <v>3</v>
      </c>
      <c r="C22" s="55" t="s">
        <v>8</v>
      </c>
      <c r="D22" s="556">
        <v>45382</v>
      </c>
      <c r="E22" s="555"/>
      <c r="F22" s="555"/>
      <c r="G22" s="555"/>
    </row>
    <row r="23" spans="2:3" ht="9.75" customHeight="1">
      <c r="B23" s="55"/>
      <c r="C23" s="55"/>
    </row>
    <row r="24" spans="1:7" s="30" customFormat="1" ht="23.25" customHeight="1">
      <c r="A24" s="6"/>
      <c r="B24" s="58" t="s">
        <v>4</v>
      </c>
      <c r="C24" s="55" t="s">
        <v>8</v>
      </c>
      <c r="D24" s="555" t="s">
        <v>17</v>
      </c>
      <c r="E24" s="555"/>
      <c r="F24" s="555"/>
      <c r="G24" s="555"/>
    </row>
    <row r="25" spans="2:3" ht="12" customHeight="1">
      <c r="B25" s="55"/>
      <c r="C25" s="55"/>
    </row>
    <row r="26" spans="1:7" s="30" customFormat="1" ht="40.5" customHeight="1">
      <c r="A26" s="6"/>
      <c r="B26" s="52" t="s">
        <v>5</v>
      </c>
      <c r="C26" s="52" t="s">
        <v>8</v>
      </c>
      <c r="D26" s="552" t="s">
        <v>149</v>
      </c>
      <c r="E26" s="552"/>
      <c r="F26" s="552"/>
      <c r="G26" s="552"/>
    </row>
    <row r="27" spans="2:3" ht="8.25" customHeight="1">
      <c r="B27" s="55"/>
      <c r="C27" s="55"/>
    </row>
    <row r="28" spans="1:7" s="30" customFormat="1" ht="18" customHeight="1">
      <c r="A28" s="6"/>
      <c r="B28" s="52" t="s">
        <v>9</v>
      </c>
      <c r="C28" s="52" t="s">
        <v>8</v>
      </c>
      <c r="D28" s="29" t="s">
        <v>157</v>
      </c>
      <c r="E28" s="29"/>
      <c r="F28" s="29"/>
      <c r="G28" s="29"/>
    </row>
    <row r="29" spans="1:7" s="30" customFormat="1" ht="18" customHeight="1">
      <c r="A29" s="6"/>
      <c r="B29" s="52"/>
      <c r="C29" s="52"/>
      <c r="D29" s="29" t="s">
        <v>81</v>
      </c>
      <c r="E29" s="29"/>
      <c r="F29" s="29"/>
      <c r="G29" s="29"/>
    </row>
    <row r="30" spans="2:3" ht="12.75">
      <c r="B30" s="55"/>
      <c r="C30" s="55"/>
    </row>
    <row r="31" spans="2:7" ht="12.75">
      <c r="B31" s="55" t="s">
        <v>6</v>
      </c>
      <c r="C31" s="55" t="s">
        <v>8</v>
      </c>
      <c r="D31" s="59" t="s">
        <v>10</v>
      </c>
      <c r="E31" s="60"/>
      <c r="F31" s="60"/>
      <c r="G31" s="60"/>
    </row>
    <row r="32" spans="2:3" ht="9" customHeight="1">
      <c r="B32" s="55"/>
      <c r="C32" s="55"/>
    </row>
    <row r="33" spans="2:4" ht="18.75" customHeight="1">
      <c r="B33" s="55" t="s">
        <v>7</v>
      </c>
      <c r="C33" s="55" t="s">
        <v>8</v>
      </c>
      <c r="D33" s="61">
        <v>45412</v>
      </c>
    </row>
    <row r="34" spans="2:4" ht="13.5" customHeight="1">
      <c r="B34" s="55"/>
      <c r="C34" s="55"/>
      <c r="D34" s="61"/>
    </row>
    <row r="35" spans="1:7" s="30" customFormat="1" ht="18" customHeight="1">
      <c r="A35" s="6"/>
      <c r="B35" s="52" t="s">
        <v>80</v>
      </c>
      <c r="C35" s="55" t="s">
        <v>8</v>
      </c>
      <c r="D35" s="29" t="s">
        <v>82</v>
      </c>
      <c r="E35" s="29"/>
      <c r="F35" s="29"/>
      <c r="G35" s="29"/>
    </row>
    <row r="36" spans="1:7" s="30" customFormat="1" ht="12.75" customHeight="1">
      <c r="A36" s="6"/>
      <c r="B36" s="52"/>
      <c r="C36" s="52"/>
      <c r="D36" s="29"/>
      <c r="E36" s="29"/>
      <c r="F36" s="29"/>
      <c r="G36" s="29"/>
    </row>
    <row r="37" spans="1:7" s="30" customFormat="1" ht="26.25" customHeight="1">
      <c r="A37" s="6"/>
      <c r="B37" s="52" t="s">
        <v>21</v>
      </c>
      <c r="C37" s="52" t="s">
        <v>8</v>
      </c>
      <c r="D37" s="553" t="s">
        <v>158</v>
      </c>
      <c r="E37" s="553"/>
      <c r="F37" s="553"/>
      <c r="G37" s="553"/>
    </row>
    <row r="38" spans="2:4" ht="12.75">
      <c r="B38" s="55"/>
      <c r="C38" s="55"/>
      <c r="D38" s="61"/>
    </row>
    <row r="39" spans="2:8" ht="16.5" customHeight="1">
      <c r="B39" s="55" t="s">
        <v>23</v>
      </c>
      <c r="C39" s="55" t="s">
        <v>8</v>
      </c>
      <c r="D39" s="555" t="s">
        <v>168</v>
      </c>
      <c r="E39" s="555"/>
      <c r="F39" s="555"/>
      <c r="G39" s="555"/>
      <c r="H39" s="554">
        <v>3.721</v>
      </c>
    </row>
    <row r="40" spans="4:8" ht="15.75" customHeight="1">
      <c r="D40" s="555"/>
      <c r="E40" s="555"/>
      <c r="F40" s="555"/>
      <c r="G40" s="555"/>
      <c r="H40" s="554"/>
    </row>
    <row r="41" ht="15.75" customHeight="1"/>
    <row r="42" spans="2:4" ht="12.75">
      <c r="B42" s="55" t="s">
        <v>68</v>
      </c>
      <c r="C42" s="55" t="s">
        <v>8</v>
      </c>
      <c r="D42" s="6" t="s">
        <v>69</v>
      </c>
    </row>
  </sheetData>
  <sheetProtection/>
  <mergeCells count="11">
    <mergeCell ref="D22:G22"/>
    <mergeCell ref="B6:G6"/>
    <mergeCell ref="B7:G7"/>
    <mergeCell ref="D9:G9"/>
    <mergeCell ref="D14:H14"/>
    <mergeCell ref="D13:H13"/>
    <mergeCell ref="H39:H40"/>
    <mergeCell ref="D24:G24"/>
    <mergeCell ref="D26:G26"/>
    <mergeCell ref="D37:G37"/>
    <mergeCell ref="D39:G40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5" zoomScaleNormal="85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8" customWidth="1"/>
    <col min="2" max="2" width="32.421875" style="118" customWidth="1"/>
    <col min="3" max="4" width="15.7109375" style="118" customWidth="1"/>
    <col min="5" max="5" width="10.7109375" style="118" customWidth="1"/>
    <col min="6" max="6" width="4.28125" style="118" customWidth="1"/>
    <col min="7" max="7" width="30.8515625" style="118" customWidth="1"/>
    <col min="8" max="8" width="17.57421875" style="118" bestFit="1" customWidth="1"/>
    <col min="9" max="9" width="18.57421875" style="118" bestFit="1" customWidth="1"/>
    <col min="10" max="10" width="10.7109375" style="118" customWidth="1"/>
    <col min="11" max="11" width="0.71875" style="118" customWidth="1"/>
    <col min="12" max="12" width="15.7109375" style="118" customWidth="1"/>
    <col min="13" max="13" width="2.421875" style="118" customWidth="1"/>
    <col min="14" max="19" width="15.7109375" style="118" customWidth="1"/>
    <col min="20" max="16384" width="15.7109375" style="126" customWidth="1"/>
  </cols>
  <sheetData>
    <row r="1" s="128" customFormat="1" ht="15.75" customHeight="1"/>
    <row r="2" s="128" customFormat="1" ht="15.75" customHeight="1">
      <c r="D2" s="149"/>
    </row>
    <row r="3" s="128" customFormat="1" ht="15.75" customHeight="1">
      <c r="D3" s="149"/>
    </row>
    <row r="4" spans="1:19" s="151" customFormat="1" ht="18" customHeight="1">
      <c r="A4" s="128"/>
      <c r="B4" s="128"/>
      <c r="C4" s="128"/>
      <c r="D4" s="128"/>
      <c r="E4" s="128"/>
      <c r="F4" s="128"/>
      <c r="G4" s="128"/>
      <c r="H4" s="117"/>
      <c r="I4" s="117"/>
      <c r="J4" s="117"/>
      <c r="K4" s="117"/>
      <c r="L4" s="117"/>
      <c r="M4" s="117"/>
      <c r="N4" s="117"/>
      <c r="O4" s="150"/>
      <c r="P4" s="150"/>
      <c r="Q4" s="150"/>
      <c r="R4" s="150"/>
      <c r="S4" s="150"/>
    </row>
    <row r="5" spans="1:19" s="151" customFormat="1" ht="19.5" customHeight="1">
      <c r="A5" s="128"/>
      <c r="B5" s="549" t="s">
        <v>170</v>
      </c>
      <c r="C5" s="549"/>
      <c r="D5" s="549"/>
      <c r="E5" s="549"/>
      <c r="F5" s="549"/>
      <c r="G5" s="549"/>
      <c r="H5" s="549"/>
      <c r="I5" s="549"/>
      <c r="J5" s="549"/>
      <c r="K5" s="117"/>
      <c r="L5" s="117"/>
      <c r="M5" s="117"/>
      <c r="N5" s="117"/>
      <c r="O5" s="150"/>
      <c r="P5" s="150"/>
      <c r="Q5" s="150"/>
      <c r="R5" s="150"/>
      <c r="S5" s="150"/>
    </row>
    <row r="6" spans="1:19" s="151" customFormat="1" ht="19.5" customHeight="1">
      <c r="A6" s="128"/>
      <c r="B6" s="562" t="s">
        <v>18</v>
      </c>
      <c r="C6" s="562"/>
      <c r="D6" s="562"/>
      <c r="E6" s="562"/>
      <c r="F6" s="562"/>
      <c r="G6" s="562"/>
      <c r="H6" s="562"/>
      <c r="I6" s="562"/>
      <c r="J6" s="562"/>
      <c r="K6" s="117"/>
      <c r="L6" s="117"/>
      <c r="M6" s="117"/>
      <c r="N6" s="117"/>
      <c r="O6" s="150"/>
      <c r="P6" s="150"/>
      <c r="Q6" s="150"/>
      <c r="R6" s="150"/>
      <c r="S6" s="150"/>
    </row>
    <row r="7" spans="1:19" s="151" customFormat="1" ht="18" customHeight="1">
      <c r="A7" s="128"/>
      <c r="B7" s="550" t="str">
        <f>+Indice!B7</f>
        <v>AL 31 DE MARZO 2024</v>
      </c>
      <c r="C7" s="550"/>
      <c r="D7" s="550"/>
      <c r="E7" s="550"/>
      <c r="F7" s="550"/>
      <c r="G7" s="550"/>
      <c r="H7" s="550"/>
      <c r="I7" s="550"/>
      <c r="J7" s="550"/>
      <c r="K7" s="117"/>
      <c r="L7" s="117"/>
      <c r="M7" s="117"/>
      <c r="N7" s="117"/>
      <c r="O7" s="150"/>
      <c r="P7" s="150"/>
      <c r="Q7" s="150"/>
      <c r="R7" s="150"/>
      <c r="S7" s="150"/>
    </row>
    <row r="8" spans="1:19" s="151" customFormat="1" ht="19.5" customHeight="1">
      <c r="A8" s="128"/>
      <c r="B8" s="550"/>
      <c r="C8" s="550"/>
      <c r="D8" s="550"/>
      <c r="E8" s="550"/>
      <c r="F8" s="550"/>
      <c r="G8" s="550"/>
      <c r="H8" s="550"/>
      <c r="I8" s="550"/>
      <c r="J8" s="550"/>
      <c r="K8" s="117"/>
      <c r="L8" s="117"/>
      <c r="M8" s="117"/>
      <c r="N8" s="117"/>
      <c r="O8" s="150"/>
      <c r="P8" s="150"/>
      <c r="Q8" s="150"/>
      <c r="R8" s="150"/>
      <c r="S8" s="150"/>
    </row>
    <row r="9" spans="1:19" s="151" customFormat="1" ht="15.75" customHeight="1">
      <c r="A9" s="128"/>
      <c r="B9" s="563" t="s">
        <v>159</v>
      </c>
      <c r="C9" s="563"/>
      <c r="D9" s="563"/>
      <c r="E9" s="563"/>
      <c r="F9" s="563"/>
      <c r="G9" s="563"/>
      <c r="H9" s="254"/>
      <c r="I9" s="254"/>
      <c r="J9" s="254"/>
      <c r="K9" s="117"/>
      <c r="L9" s="195"/>
      <c r="M9" s="117"/>
      <c r="N9" s="117"/>
      <c r="O9" s="150"/>
      <c r="P9" s="150"/>
      <c r="Q9" s="150"/>
      <c r="R9" s="150"/>
      <c r="S9" s="150"/>
    </row>
    <row r="10" spans="1:19" s="151" customFormat="1" ht="12" customHeight="1">
      <c r="A10" s="116"/>
      <c r="B10" s="116"/>
      <c r="C10" s="116"/>
      <c r="D10" s="116"/>
      <c r="E10" s="116"/>
      <c r="F10" s="116"/>
      <c r="G10" s="116"/>
      <c r="H10" s="117"/>
      <c r="I10" s="117"/>
      <c r="J10" s="117"/>
      <c r="K10" s="117"/>
      <c r="L10" s="152"/>
      <c r="M10" s="117"/>
      <c r="N10" s="117"/>
      <c r="O10" s="150"/>
      <c r="P10" s="150"/>
      <c r="Q10" s="150"/>
      <c r="R10" s="150"/>
      <c r="S10" s="150"/>
    </row>
    <row r="11" spans="2:10" ht="19.5" customHeight="1">
      <c r="B11" s="559" t="s">
        <v>151</v>
      </c>
      <c r="C11" s="560"/>
      <c r="D11" s="560"/>
      <c r="E11" s="561"/>
      <c r="G11" s="559" t="s">
        <v>31</v>
      </c>
      <c r="H11" s="560"/>
      <c r="I11" s="560"/>
      <c r="J11" s="561"/>
    </row>
    <row r="12" spans="2:10" ht="19.5" customHeight="1">
      <c r="B12" s="119"/>
      <c r="C12" s="401" t="s">
        <v>75</v>
      </c>
      <c r="D12" s="402" t="s">
        <v>160</v>
      </c>
      <c r="E12" s="398" t="s">
        <v>27</v>
      </c>
      <c r="G12" s="122"/>
      <c r="H12" s="395" t="s">
        <v>75</v>
      </c>
      <c r="I12" s="395" t="str">
        <f>+D12</f>
        <v>Soles</v>
      </c>
      <c r="J12" s="468" t="s">
        <v>222</v>
      </c>
    </row>
    <row r="13" spans="2:15" ht="19.5" customHeight="1">
      <c r="B13" s="123" t="s">
        <v>71</v>
      </c>
      <c r="C13" s="396">
        <f>(+'DEP-C2'!C18+'DEP-C2'!C42)/1000</f>
        <v>7634.23402307</v>
      </c>
      <c r="D13" s="396">
        <f>(+'DEP-C2'!D18+'DEP-C2'!D42)/1000</f>
        <v>28406.98479984713</v>
      </c>
      <c r="E13" s="399">
        <f>+C13/$C$15</f>
        <v>0.8018944525530034</v>
      </c>
      <c r="G13" s="123" t="s">
        <v>72</v>
      </c>
      <c r="H13" s="396">
        <f>+C21+C22+C23+C24</f>
        <v>4253.3786932</v>
      </c>
      <c r="I13" s="396">
        <f>+D21+D22+D23+D24</f>
        <v>15641.822117389998</v>
      </c>
      <c r="J13" s="466">
        <f>+H13/$H$15</f>
        <v>0.4467718396341004</v>
      </c>
      <c r="N13" s="196"/>
      <c r="O13" s="196"/>
    </row>
    <row r="14" spans="2:15" ht="19.5" customHeight="1">
      <c r="B14" s="123" t="s">
        <v>70</v>
      </c>
      <c r="C14" s="396">
        <f>(+'DEP-C2'!C14+'DEP-C2'!C38)/1000</f>
        <v>1886.01393321</v>
      </c>
      <c r="D14" s="396">
        <f>(+'DEP-C2'!D14+'DEP-C2'!D38)/1000</f>
        <v>7017.85784547176</v>
      </c>
      <c r="E14" s="399">
        <f>+C14/$C$15</f>
        <v>0.1981055474469966</v>
      </c>
      <c r="G14" s="123" t="s">
        <v>73</v>
      </c>
      <c r="H14" s="396">
        <f>+C20</f>
        <v>5266.86926308</v>
      </c>
      <c r="I14" s="396">
        <f>+D20</f>
        <v>19598.02052792</v>
      </c>
      <c r="J14" s="466">
        <f>+H14/$H$15</f>
        <v>0.5532281603658996</v>
      </c>
      <c r="O14" s="153"/>
    </row>
    <row r="15" spans="2:15" ht="19.5" customHeight="1">
      <c r="B15" s="124" t="s">
        <v>28</v>
      </c>
      <c r="C15" s="397">
        <f>SUM(C13:C14)</f>
        <v>9520.24795628</v>
      </c>
      <c r="D15" s="397">
        <f>SUM(D13:D14)</f>
        <v>35424.84264531889</v>
      </c>
      <c r="E15" s="400">
        <f>SUM(E13:E14)</f>
        <v>1</v>
      </c>
      <c r="G15" s="124" t="s">
        <v>28</v>
      </c>
      <c r="H15" s="397">
        <f>SUM(H13:H14)</f>
        <v>9520.24795628</v>
      </c>
      <c r="I15" s="397">
        <f>SUM(I13:I14)</f>
        <v>35239.84264531</v>
      </c>
      <c r="J15" s="467">
        <f>SUM(J13:J14)</f>
        <v>1</v>
      </c>
      <c r="O15" s="153"/>
    </row>
    <row r="16" spans="2:10" ht="19.5" customHeight="1">
      <c r="B16" s="121"/>
      <c r="C16" s="473"/>
      <c r="D16" s="263"/>
      <c r="E16" s="217"/>
      <c r="G16" s="121"/>
      <c r="H16" s="264"/>
      <c r="I16" s="264"/>
      <c r="J16" s="217"/>
    </row>
    <row r="17" spans="2:8" ht="19.5" customHeight="1">
      <c r="B17" s="161"/>
      <c r="C17" s="265"/>
      <c r="H17" s="125"/>
    </row>
    <row r="18" spans="2:12" ht="19.5" customHeight="1">
      <c r="B18" s="559" t="s">
        <v>66</v>
      </c>
      <c r="C18" s="560"/>
      <c r="D18" s="560"/>
      <c r="E18" s="561"/>
      <c r="G18" s="559" t="s">
        <v>61</v>
      </c>
      <c r="H18" s="560"/>
      <c r="I18" s="560"/>
      <c r="J18" s="561"/>
      <c r="L18" s="125"/>
    </row>
    <row r="19" spans="2:10" ht="19.5" customHeight="1">
      <c r="B19" s="122"/>
      <c r="C19" s="395" t="s">
        <v>75</v>
      </c>
      <c r="D19" s="395" t="str">
        <f>+D12</f>
        <v>Soles</v>
      </c>
      <c r="E19" s="403" t="s">
        <v>27</v>
      </c>
      <c r="G19" s="122"/>
      <c r="H19" s="395" t="s">
        <v>75</v>
      </c>
      <c r="I19" s="395" t="str">
        <f>+I12</f>
        <v>Soles</v>
      </c>
      <c r="J19" s="403" t="s">
        <v>27</v>
      </c>
    </row>
    <row r="20" spans="2:12" ht="19.5" customHeight="1">
      <c r="B20" s="123" t="s">
        <v>73</v>
      </c>
      <c r="C20" s="396">
        <f>+(+'DEP-C7'!D20+'DEP-C7'!D36)/1000</f>
        <v>5266.86926308</v>
      </c>
      <c r="D20" s="396">
        <f>+(+'DEP-C7'!E20+'DEP-C7'!E36)/1000</f>
        <v>19598.02052792</v>
      </c>
      <c r="E20" s="399">
        <f>+C20/$C$25</f>
        <v>0.5532281603658996</v>
      </c>
      <c r="G20" s="123" t="s">
        <v>75</v>
      </c>
      <c r="H20" s="396">
        <f>('DEP-C3'!C22+'DEP-C3'!C57)/1000</f>
        <v>7242.091146410001</v>
      </c>
      <c r="I20" s="396">
        <f>('DEP-C3'!D22+'DEP-C3'!D57)/1000</f>
        <v>26947.8211558</v>
      </c>
      <c r="J20" s="399">
        <f>+H20/$H$24</f>
        <v>0.7607040467504609</v>
      </c>
      <c r="L20" s="154"/>
    </row>
    <row r="21" spans="2:12" ht="19.5" customHeight="1">
      <c r="B21" s="123" t="s">
        <v>74</v>
      </c>
      <c r="C21" s="396">
        <f>+(+'DEP-C7'!D15+'DEP-C7'!D30+'DEP-C7'!D88+'DEP-C7'!D70)/1000</f>
        <v>2656.7798487200002</v>
      </c>
      <c r="D21" s="396">
        <f>+(+'DEP-C7'!E15+'DEP-C7'!E30+'DEP-C7'!E89+'DEP-C7'!E70)/1000</f>
        <v>9700.877817089999</v>
      </c>
      <c r="E21" s="399">
        <f>+C21/$C$25</f>
        <v>0.27906624500966537</v>
      </c>
      <c r="G21" s="123" t="s">
        <v>160</v>
      </c>
      <c r="H21" s="396">
        <f>('DEP-C3'!C14+'DEP-C3'!C49)/1000</f>
        <v>1842.76166255</v>
      </c>
      <c r="I21" s="396">
        <f>(+'DEP-C3'!D14+'DEP-C3'!D49)/1000</f>
        <v>6856.91614634</v>
      </c>
      <c r="J21" s="399">
        <f>+H21/$H$24</f>
        <v>0.19356236003647662</v>
      </c>
      <c r="L21" s="167"/>
    </row>
    <row r="22" spans="2:12" ht="19.5" customHeight="1">
      <c r="B22" s="123" t="s">
        <v>208</v>
      </c>
      <c r="C22" s="396">
        <f>+('DEP-C7'!D22+'DEP-C7'!D39)/1000</f>
        <v>459.76670065</v>
      </c>
      <c r="D22" s="396">
        <f>+('DEP-C7'!E22+'DEP-C7'!E39)/1000</f>
        <v>1710.7918931200002</v>
      </c>
      <c r="E22" s="399">
        <f>+C22/$C$25</f>
        <v>0.04829356365100937</v>
      </c>
      <c r="G22" s="123" t="s">
        <v>76</v>
      </c>
      <c r="H22" s="396">
        <f>+'DEP-C3'!C26/1000</f>
        <v>57.785181619999996</v>
      </c>
      <c r="I22" s="396">
        <f>+'DEP-C3'!D26/1000</f>
        <v>215.01866081</v>
      </c>
      <c r="J22" s="399">
        <f>+H22/$H$24</f>
        <v>0.006069713928184212</v>
      </c>
      <c r="L22" s="197"/>
    </row>
    <row r="23" spans="2:12" ht="19.5" customHeight="1">
      <c r="B23" s="123" t="s">
        <v>124</v>
      </c>
      <c r="C23" s="396">
        <f>+('DEP-C7'!D18+'DEP-C7'!D34+'DEP-C7'!D82)/1000</f>
        <v>453.60115651999996</v>
      </c>
      <c r="D23" s="396">
        <f>(+'DEP-C7'!E18+'DEP-C7'!E34+'DEP-C7'!E82)/1000</f>
        <v>1687.8499034000001</v>
      </c>
      <c r="E23" s="399">
        <f>+C23/$C$25</f>
        <v>0.047645939328794844</v>
      </c>
      <c r="G23" s="123" t="s">
        <v>77</v>
      </c>
      <c r="H23" s="229">
        <f>+'DEP-C3'!C30/1000</f>
        <v>377.6099657</v>
      </c>
      <c r="I23" s="229">
        <f>+'DEP-C3'!D30/1000</f>
        <v>1405.08668237</v>
      </c>
      <c r="J23" s="399">
        <f>+H23/$H$24</f>
        <v>0.03966387928487838</v>
      </c>
      <c r="L23" s="167"/>
    </row>
    <row r="24" spans="2:12" ht="19.5" customHeight="1">
      <c r="B24" s="123" t="s">
        <v>36</v>
      </c>
      <c r="C24" s="396">
        <f>+('DEP-C7'!D25+'DEP-C7'!D41+'DEP-C7'!D84)/1000</f>
        <v>683.2309873099999</v>
      </c>
      <c r="D24" s="396">
        <f>+('DEP-C7'!E25+'DEP-C7'!E41+'DEP-C7'!E84)/1000</f>
        <v>2542.30250378</v>
      </c>
      <c r="E24" s="399">
        <f>+C24/$C$25</f>
        <v>0.07176609164463084</v>
      </c>
      <c r="G24" s="124" t="s">
        <v>28</v>
      </c>
      <c r="H24" s="397">
        <f>SUM(H20:H23)</f>
        <v>9520.24795628</v>
      </c>
      <c r="I24" s="397">
        <f>SUM(I20:I23)</f>
        <v>35424.84264531999</v>
      </c>
      <c r="J24" s="400">
        <f>SUM(J20:J23)</f>
        <v>1.0000000000000002</v>
      </c>
      <c r="L24" s="198"/>
    </row>
    <row r="25" spans="2:5" ht="19.5" customHeight="1">
      <c r="B25" s="124" t="s">
        <v>28</v>
      </c>
      <c r="C25" s="397">
        <f>SUM(C20:C24)</f>
        <v>9520.24795628</v>
      </c>
      <c r="D25" s="397">
        <f>SUM(D20:D24)</f>
        <v>35239.84264531</v>
      </c>
      <c r="E25" s="400">
        <f>SUM(E20:E24)</f>
        <v>1</v>
      </c>
    </row>
    <row r="26" spans="3:9" ht="19.5" customHeight="1">
      <c r="C26" s="229"/>
      <c r="H26" s="167"/>
      <c r="I26" s="167"/>
    </row>
    <row r="27" spans="2:8" ht="19.5" customHeight="1">
      <c r="B27" s="121"/>
      <c r="C27" s="266"/>
      <c r="D27" s="267"/>
      <c r="E27" s="217"/>
      <c r="G27" s="219"/>
      <c r="H27" s="229"/>
    </row>
    <row r="28" spans="2:10" ht="19.5" customHeight="1">
      <c r="B28" s="559" t="s">
        <v>29</v>
      </c>
      <c r="C28" s="560"/>
      <c r="D28" s="560"/>
      <c r="E28" s="561"/>
      <c r="G28" s="559" t="s">
        <v>30</v>
      </c>
      <c r="H28" s="560"/>
      <c r="I28" s="560"/>
      <c r="J28" s="561"/>
    </row>
    <row r="29" spans="2:10" ht="19.5" customHeight="1">
      <c r="B29" s="122"/>
      <c r="C29" s="395" t="s">
        <v>75</v>
      </c>
      <c r="D29" s="395" t="str">
        <f>+D19</f>
        <v>Soles</v>
      </c>
      <c r="E29" s="403" t="s">
        <v>27</v>
      </c>
      <c r="G29" s="122"/>
      <c r="H29" s="120" t="s">
        <v>75</v>
      </c>
      <c r="I29" s="120" t="str">
        <f>+I19</f>
        <v>Soles</v>
      </c>
      <c r="J29" s="404" t="s">
        <v>27</v>
      </c>
    </row>
    <row r="30" spans="2:14" ht="19.5" customHeight="1">
      <c r="B30" s="123" t="s">
        <v>90</v>
      </c>
      <c r="C30" s="396">
        <f>(+'DEP-C2'!C16+'DEP-C2'!C20+'DEP-C2'!C40+'DEP-C2'!C44)/1000</f>
        <v>4114.49646355</v>
      </c>
      <c r="D30" s="396">
        <f>(+'DEP-C2'!D16+'DEP-C2'!D20+'DEP-C2'!D40+'DEP-C2'!D44)/1000</f>
        <v>15310.04134087</v>
      </c>
      <c r="E30" s="399">
        <f>+C30/$C$32</f>
        <v>0.4321837500919171</v>
      </c>
      <c r="G30" s="123" t="s">
        <v>78</v>
      </c>
      <c r="H30" s="396">
        <f>'DEP-C2'!C22/1000</f>
        <v>8565.44144219</v>
      </c>
      <c r="I30" s="396">
        <f>+'DEP-C2'!D22/1000</f>
        <v>31872.007606389998</v>
      </c>
      <c r="J30" s="399">
        <f>+H30/$H$32</f>
        <v>0.8997078102928858</v>
      </c>
      <c r="N30" s="154"/>
    </row>
    <row r="31" spans="2:14" ht="19.5" customHeight="1">
      <c r="B31" s="123" t="s">
        <v>91</v>
      </c>
      <c r="C31" s="396">
        <f>(+'DEP-C2'!C15+'DEP-C2'!C19+'DEP-C2'!C39+'DEP-C2'!C43)/1000</f>
        <v>5405.75149273</v>
      </c>
      <c r="D31" s="396">
        <f>(+'DEP-C2'!D15+'DEP-C2'!D19+'DEP-C2'!D39+'DEP-C2'!D43)/1000</f>
        <v>20114.801304448887</v>
      </c>
      <c r="E31" s="399">
        <f>+C31/$C$32</f>
        <v>0.5678162499080829</v>
      </c>
      <c r="G31" s="123" t="s">
        <v>79</v>
      </c>
      <c r="H31" s="396">
        <f>+'DEP-C2'!C46/1000</f>
        <v>954.80651409</v>
      </c>
      <c r="I31" s="396">
        <f>+'DEP-C2'!D46/1000</f>
        <v>3552.8350389288903</v>
      </c>
      <c r="J31" s="399">
        <f>+H31/$H$32</f>
        <v>0.10029218970711419</v>
      </c>
      <c r="N31" s="155"/>
    </row>
    <row r="32" spans="2:14" ht="19.5" customHeight="1">
      <c r="B32" s="124" t="s">
        <v>28</v>
      </c>
      <c r="C32" s="397">
        <f>SUM(C30:C31)</f>
        <v>9520.24795628</v>
      </c>
      <c r="D32" s="397">
        <f>SUM(D30:D31)</f>
        <v>35424.84264531889</v>
      </c>
      <c r="E32" s="400">
        <f>SUM(E30:E31)</f>
        <v>1</v>
      </c>
      <c r="G32" s="124" t="s">
        <v>28</v>
      </c>
      <c r="H32" s="397">
        <f>SUM(H30:H31)</f>
        <v>9520.24795628</v>
      </c>
      <c r="I32" s="397">
        <f>SUM(I30:I31)</f>
        <v>35424.84264531889</v>
      </c>
      <c r="J32" s="400">
        <f>SUM(J30:J31)</f>
        <v>1</v>
      </c>
      <c r="N32" s="153"/>
    </row>
    <row r="33" ht="8.25" customHeight="1"/>
    <row r="34" spans="2:10" ht="15.75" customHeight="1">
      <c r="B34" s="230"/>
      <c r="C34" s="671"/>
      <c r="D34" s="268"/>
      <c r="E34" s="230"/>
      <c r="F34" s="230"/>
      <c r="G34" s="230"/>
      <c r="H34" s="268"/>
      <c r="I34" s="268"/>
      <c r="J34" s="230"/>
    </row>
    <row r="35" spans="2:10" ht="5.25" customHeight="1">
      <c r="B35" s="231"/>
      <c r="C35" s="231"/>
      <c r="D35" s="231"/>
      <c r="E35" s="231"/>
      <c r="F35" s="231"/>
      <c r="G35" s="231"/>
      <c r="H35" s="231"/>
      <c r="J35" s="232"/>
    </row>
    <row r="36" spans="2:9" ht="15.75" customHeight="1">
      <c r="B36" s="233"/>
      <c r="C36" s="234"/>
      <c r="D36" s="234"/>
      <c r="E36" s="235"/>
      <c r="F36" s="84"/>
      <c r="G36" s="84"/>
      <c r="H36" s="236"/>
      <c r="I36" s="167"/>
    </row>
    <row r="37" spans="2:8" ht="15.75" customHeight="1">
      <c r="B37" s="557"/>
      <c r="C37" s="558"/>
      <c r="D37" s="558"/>
      <c r="E37" s="558"/>
      <c r="F37" s="84"/>
      <c r="G37" s="84"/>
      <c r="H37" s="84"/>
    </row>
    <row r="38" spans="2:6" s="76" customFormat="1" ht="15.75" customHeight="1">
      <c r="B38" s="84"/>
      <c r="C38" s="237"/>
      <c r="D38" s="238"/>
      <c r="E38" s="84"/>
      <c r="F38" s="245"/>
    </row>
    <row r="39" spans="2:6" s="76" customFormat="1" ht="15.75" customHeight="1">
      <c r="B39" s="84"/>
      <c r="C39" s="156"/>
      <c r="D39" s="84"/>
      <c r="E39" s="84"/>
      <c r="F39" s="245"/>
    </row>
  </sheetData>
  <sheetProtection/>
  <mergeCells count="12">
    <mergeCell ref="B5:J5"/>
    <mergeCell ref="B7:J7"/>
    <mergeCell ref="B11:E11"/>
    <mergeCell ref="G11:J11"/>
    <mergeCell ref="B8:J8"/>
    <mergeCell ref="B37:E37"/>
    <mergeCell ref="B18:E18"/>
    <mergeCell ref="G18:J18"/>
    <mergeCell ref="G28:J28"/>
    <mergeCell ref="B28:E28"/>
    <mergeCell ref="B6:J6"/>
    <mergeCell ref="B9:G9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="4" customFormat="1" ht="18" customHeight="1"/>
    <row r="5" spans="2:8" s="4" customFormat="1" ht="19.5" customHeight="1">
      <c r="B5" s="549" t="s">
        <v>171</v>
      </c>
      <c r="C5" s="549"/>
      <c r="D5" s="549"/>
      <c r="E5" s="549"/>
      <c r="F5" s="549"/>
      <c r="G5" s="549"/>
      <c r="H5" s="549"/>
    </row>
    <row r="6" spans="2:8" s="4" customFormat="1" ht="19.5" customHeight="1">
      <c r="B6" s="562" t="s">
        <v>18</v>
      </c>
      <c r="C6" s="562"/>
      <c r="D6" s="562"/>
      <c r="E6" s="562"/>
      <c r="F6" s="562"/>
      <c r="G6" s="562"/>
      <c r="H6" s="562"/>
    </row>
    <row r="7" spans="2:8" s="4" customFormat="1" ht="18" customHeight="1">
      <c r="B7" s="550" t="str">
        <f>+Indice!B7</f>
        <v>AL 31 DE MARZO 2024</v>
      </c>
      <c r="C7" s="550"/>
      <c r="D7" s="550"/>
      <c r="E7" s="550"/>
      <c r="F7" s="550"/>
      <c r="G7" s="550"/>
      <c r="H7" s="550"/>
    </row>
    <row r="8" spans="2:9" s="4" customFormat="1" ht="24.75" customHeight="1">
      <c r="B8" s="254"/>
      <c r="C8" s="254"/>
      <c r="D8" s="254"/>
      <c r="E8" s="254"/>
      <c r="F8" s="254"/>
      <c r="G8" s="254"/>
      <c r="H8" s="254"/>
      <c r="I8" s="47"/>
    </row>
    <row r="9" spans="2:8" ht="17.25" customHeight="1">
      <c r="B9" s="84"/>
      <c r="C9" s="84"/>
      <c r="D9" s="84"/>
      <c r="E9" s="84"/>
      <c r="F9" s="84"/>
      <c r="G9" s="84"/>
      <c r="H9" s="84"/>
    </row>
    <row r="10" spans="2:8" ht="16.5">
      <c r="B10" s="566" t="str">
        <f>+Resumen!B11:E11</f>
        <v>TIPO DE DEUDA</v>
      </c>
      <c r="C10" s="566"/>
      <c r="D10" s="566"/>
      <c r="E10" s="88"/>
      <c r="F10" s="566" t="s">
        <v>31</v>
      </c>
      <c r="G10" s="566"/>
      <c r="H10" s="566"/>
    </row>
    <row r="11" spans="2:8" ht="12.75">
      <c r="B11" s="84"/>
      <c r="C11" s="84"/>
      <c r="D11" s="84"/>
      <c r="E11" s="84"/>
      <c r="F11" s="84"/>
      <c r="G11" s="84"/>
      <c r="H11" s="84"/>
    </row>
    <row r="28" spans="2:8" s="23" customFormat="1" ht="16.5">
      <c r="B28" s="566" t="str">
        <f>+Resumen!B18:E18</f>
        <v>GRUPO DEL ACREEDOR</v>
      </c>
      <c r="C28" s="566"/>
      <c r="D28" s="566"/>
      <c r="F28" s="566" t="s">
        <v>61</v>
      </c>
      <c r="G28" s="566"/>
      <c r="H28" s="566"/>
    </row>
    <row r="48" spans="2:8" s="23" customFormat="1" ht="16.5">
      <c r="B48" s="566" t="s">
        <v>29</v>
      </c>
      <c r="C48" s="566"/>
      <c r="D48" s="566"/>
      <c r="F48" s="566" t="s">
        <v>30</v>
      </c>
      <c r="G48" s="566"/>
      <c r="H48" s="566"/>
    </row>
    <row r="66" spans="2:8" ht="30" customHeight="1">
      <c r="B66" s="567"/>
      <c r="C66" s="567"/>
      <c r="D66" s="567"/>
      <c r="E66" s="567"/>
      <c r="F66" s="567"/>
      <c r="G66" s="567"/>
      <c r="H66" s="567"/>
    </row>
    <row r="67" spans="2:8" ht="9" customHeight="1">
      <c r="B67" s="48"/>
      <c r="C67" s="48"/>
      <c r="D67" s="48"/>
      <c r="E67" s="48"/>
      <c r="F67" s="48"/>
      <c r="G67" s="48"/>
      <c r="H67" s="48"/>
    </row>
    <row r="68" spans="2:8" ht="15.75" customHeight="1">
      <c r="B68" s="49"/>
      <c r="C68" s="50"/>
      <c r="D68" s="50"/>
      <c r="E68" s="50"/>
      <c r="F68" s="51"/>
      <c r="G68" s="51"/>
      <c r="H68" s="51"/>
    </row>
    <row r="69" spans="2:8" ht="15.75" customHeight="1">
      <c r="B69" s="564"/>
      <c r="C69" s="565"/>
      <c r="D69" s="565"/>
      <c r="E69" s="565"/>
      <c r="F69" s="51"/>
      <c r="G69" s="51"/>
      <c r="H69" s="51"/>
    </row>
    <row r="70" spans="2:8" ht="15.75" customHeight="1">
      <c r="B70" s="564"/>
      <c r="C70" s="565"/>
      <c r="D70" s="565"/>
      <c r="E70" s="565"/>
      <c r="F70" s="51"/>
      <c r="G70" s="51"/>
      <c r="H70" s="51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12">
    <mergeCell ref="B5:H5"/>
    <mergeCell ref="B7:H7"/>
    <mergeCell ref="B10:D10"/>
    <mergeCell ref="F10:H10"/>
    <mergeCell ref="B70:E70"/>
    <mergeCell ref="B28:D28"/>
    <mergeCell ref="F28:H28"/>
    <mergeCell ref="B66:H66"/>
    <mergeCell ref="B48:D48"/>
    <mergeCell ref="B6:H6"/>
    <mergeCell ref="B69:E69"/>
    <mergeCell ref="F48:H48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W51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4.28125" style="9" customWidth="1"/>
    <col min="2" max="2" width="31.57421875" style="9" customWidth="1"/>
    <col min="3" max="6" width="12.2812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22" width="12.28125" style="10" customWidth="1"/>
    <col min="23" max="25" width="12.28125" style="9" customWidth="1"/>
    <col min="26" max="29" width="9.7109375" style="9" hidden="1" customWidth="1"/>
    <col min="30" max="36" width="9.140625" style="9" hidden="1" customWidth="1"/>
    <col min="37" max="37" width="12.28125" style="9" customWidth="1"/>
    <col min="38" max="43" width="10.7109375" style="9" hidden="1" customWidth="1"/>
    <col min="44" max="48" width="9.140625" style="9" hidden="1" customWidth="1"/>
    <col min="49" max="49" width="12.28125" style="9" customWidth="1"/>
    <col min="50" max="58" width="10.28125" style="9" hidden="1" customWidth="1"/>
    <col min="59" max="60" width="9.140625" style="9" hidden="1" customWidth="1"/>
    <col min="61" max="61" width="10.421875" style="9" bestFit="1" customWidth="1"/>
    <col min="62" max="64" width="10.28125" style="9" customWidth="1"/>
    <col min="65" max="70" width="10.28125" style="9" hidden="1" customWidth="1"/>
    <col min="71" max="72" width="9.140625" style="9" hidden="1" customWidth="1"/>
    <col min="73" max="73" width="10.421875" style="9" hidden="1" customWidth="1"/>
    <col min="74" max="16384" width="11.421875" style="9" customWidth="1"/>
  </cols>
  <sheetData>
    <row r="1" ht="12.75">
      <c r="B1" s="8"/>
    </row>
    <row r="2" spans="2:22" s="11" customFormat="1" ht="18">
      <c r="B2" s="602"/>
      <c r="C2" s="602"/>
      <c r="D2" s="602"/>
      <c r="E2" s="602"/>
      <c r="F2" s="602"/>
      <c r="G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s="11" customFormat="1" ht="18">
      <c r="B3" s="602"/>
      <c r="C3" s="602"/>
      <c r="D3" s="602"/>
      <c r="E3" s="602"/>
      <c r="F3" s="602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5" spans="2:22" s="114" customFormat="1" ht="18">
      <c r="B5" s="127" t="s">
        <v>11</v>
      </c>
      <c r="C5" s="127"/>
      <c r="D5" s="127"/>
      <c r="E5" s="127"/>
      <c r="F5" s="127"/>
      <c r="G5" s="113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2:22" s="11" customFormat="1" ht="18">
      <c r="B6" s="362" t="s">
        <v>112</v>
      </c>
      <c r="C6" s="362"/>
      <c r="D6" s="362"/>
      <c r="E6" s="362"/>
      <c r="F6" s="362"/>
      <c r="G6" s="2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11" customFormat="1" ht="18">
      <c r="B7" s="405" t="s">
        <v>162</v>
      </c>
      <c r="C7" s="255"/>
      <c r="D7" s="255"/>
      <c r="E7" s="255"/>
      <c r="F7" s="255"/>
      <c r="G7" s="2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s="11" customFormat="1" ht="18">
      <c r="B8" s="358" t="s">
        <v>152</v>
      </c>
      <c r="C8" s="131"/>
      <c r="D8" s="255"/>
      <c r="E8" s="255"/>
      <c r="F8" s="255"/>
      <c r="G8" s="2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s="11" customFormat="1" ht="18">
      <c r="B9" s="181" t="s">
        <v>261</v>
      </c>
      <c r="C9" s="131"/>
      <c r="D9" s="255"/>
      <c r="E9" s="255"/>
      <c r="F9" s="255"/>
      <c r="G9" s="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11" customFormat="1" ht="18">
      <c r="B10" s="394" t="s">
        <v>111</v>
      </c>
      <c r="C10" s="260"/>
      <c r="D10" s="255"/>
      <c r="E10" s="255"/>
      <c r="F10" s="255"/>
      <c r="G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7" ht="10.5" customHeight="1">
      <c r="B11" s="243"/>
      <c r="C11" s="243"/>
      <c r="D11" s="243"/>
      <c r="E11" s="243"/>
      <c r="F11" s="169"/>
      <c r="G11" s="22"/>
    </row>
    <row r="12" spans="2:74" s="27" customFormat="1" ht="18" customHeight="1">
      <c r="B12" s="572" t="s">
        <v>138</v>
      </c>
      <c r="C12" s="574">
        <v>2009</v>
      </c>
      <c r="D12" s="605">
        <v>2010</v>
      </c>
      <c r="E12" s="603">
        <v>2011</v>
      </c>
      <c r="F12" s="574">
        <v>2012</v>
      </c>
      <c r="G12" s="111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574">
        <v>2013</v>
      </c>
      <c r="S12" s="574">
        <v>2014</v>
      </c>
      <c r="T12" s="598">
        <v>2015</v>
      </c>
      <c r="U12" s="582">
        <v>2016</v>
      </c>
      <c r="V12" s="600">
        <v>2017</v>
      </c>
      <c r="W12" s="568">
        <v>2018</v>
      </c>
      <c r="X12" s="568">
        <v>2019</v>
      </c>
      <c r="Y12" s="568">
        <v>2020</v>
      </c>
      <c r="Z12" s="496">
        <v>2021</v>
      </c>
      <c r="AA12" s="497"/>
      <c r="AB12" s="497"/>
      <c r="AC12" s="497"/>
      <c r="AD12" s="497"/>
      <c r="AE12" s="497"/>
      <c r="AF12" s="497"/>
      <c r="AG12" s="497"/>
      <c r="AH12" s="497"/>
      <c r="AI12" s="497"/>
      <c r="AJ12" s="497"/>
      <c r="AK12" s="607">
        <v>2021</v>
      </c>
      <c r="AL12" s="512">
        <v>2022</v>
      </c>
      <c r="AM12" s="513"/>
      <c r="AN12" s="513"/>
      <c r="AO12" s="513"/>
      <c r="AP12" s="513"/>
      <c r="AQ12" s="513"/>
      <c r="AR12" s="513"/>
      <c r="AS12" s="513"/>
      <c r="AT12" s="513"/>
      <c r="AU12" s="513"/>
      <c r="AV12" s="513"/>
      <c r="AW12" s="607">
        <v>2022</v>
      </c>
      <c r="AX12" s="512">
        <v>2023</v>
      </c>
      <c r="AY12" s="513"/>
      <c r="AZ12" s="513"/>
      <c r="BA12" s="513"/>
      <c r="BB12" s="513"/>
      <c r="BC12" s="513"/>
      <c r="BD12" s="513"/>
      <c r="BE12" s="513"/>
      <c r="BF12" s="513"/>
      <c r="BG12" s="513"/>
      <c r="BH12" s="513"/>
      <c r="BI12" s="607">
        <v>2023</v>
      </c>
      <c r="BJ12" s="595">
        <v>2024</v>
      </c>
      <c r="BK12" s="596"/>
      <c r="BL12" s="596"/>
      <c r="BM12" s="596"/>
      <c r="BN12" s="596"/>
      <c r="BO12" s="596"/>
      <c r="BP12" s="596"/>
      <c r="BQ12" s="596"/>
      <c r="BR12" s="596"/>
      <c r="BS12" s="596"/>
      <c r="BT12" s="596"/>
      <c r="BU12" s="597"/>
      <c r="BV12" s="470"/>
    </row>
    <row r="13" spans="2:74" s="27" customFormat="1" ht="18" customHeight="1">
      <c r="B13" s="573"/>
      <c r="C13" s="575"/>
      <c r="D13" s="606"/>
      <c r="E13" s="604"/>
      <c r="F13" s="575"/>
      <c r="G13" s="105" t="s">
        <v>96</v>
      </c>
      <c r="H13" s="105" t="s">
        <v>97</v>
      </c>
      <c r="I13" s="106" t="s">
        <v>102</v>
      </c>
      <c r="J13" s="106" t="s">
        <v>104</v>
      </c>
      <c r="K13" s="106" t="s">
        <v>108</v>
      </c>
      <c r="L13" s="106" t="s">
        <v>121</v>
      </c>
      <c r="M13" s="106" t="s">
        <v>139</v>
      </c>
      <c r="N13" s="106" t="s">
        <v>141</v>
      </c>
      <c r="O13" s="106" t="s">
        <v>143</v>
      </c>
      <c r="P13" s="106" t="s">
        <v>146</v>
      </c>
      <c r="Q13" s="106" t="s">
        <v>148</v>
      </c>
      <c r="R13" s="575"/>
      <c r="S13" s="575"/>
      <c r="T13" s="599"/>
      <c r="U13" s="583"/>
      <c r="V13" s="601"/>
      <c r="W13" s="569"/>
      <c r="X13" s="569"/>
      <c r="Y13" s="569"/>
      <c r="Z13" s="469" t="s">
        <v>96</v>
      </c>
      <c r="AA13" s="412" t="s">
        <v>97</v>
      </c>
      <c r="AB13" s="492" t="s">
        <v>102</v>
      </c>
      <c r="AC13" s="417" t="s">
        <v>104</v>
      </c>
      <c r="AD13" s="493" t="s">
        <v>227</v>
      </c>
      <c r="AE13" s="492" t="s">
        <v>121</v>
      </c>
      <c r="AF13" s="424" t="s">
        <v>139</v>
      </c>
      <c r="AG13" s="433" t="s">
        <v>141</v>
      </c>
      <c r="AH13" s="494" t="s">
        <v>235</v>
      </c>
      <c r="AI13" s="495" t="s">
        <v>146</v>
      </c>
      <c r="AJ13" s="424" t="s">
        <v>148</v>
      </c>
      <c r="AK13" s="608"/>
      <c r="AL13" s="469" t="s">
        <v>96</v>
      </c>
      <c r="AM13" s="412" t="s">
        <v>97</v>
      </c>
      <c r="AN13" s="416" t="s">
        <v>102</v>
      </c>
      <c r="AO13" s="417" t="s">
        <v>104</v>
      </c>
      <c r="AP13" s="422" t="s">
        <v>227</v>
      </c>
      <c r="AQ13" s="416" t="s">
        <v>121</v>
      </c>
      <c r="AR13" s="424" t="s">
        <v>139</v>
      </c>
      <c r="AS13" s="433" t="s">
        <v>141</v>
      </c>
      <c r="AT13" s="436" t="s">
        <v>235</v>
      </c>
      <c r="AU13" s="458" t="s">
        <v>146</v>
      </c>
      <c r="AV13" s="424" t="s">
        <v>148</v>
      </c>
      <c r="AW13" s="608"/>
      <c r="AX13" s="469" t="s">
        <v>96</v>
      </c>
      <c r="AY13" s="412" t="s">
        <v>97</v>
      </c>
      <c r="AZ13" s="416" t="s">
        <v>102</v>
      </c>
      <c r="BA13" s="417" t="s">
        <v>104</v>
      </c>
      <c r="BB13" s="422" t="s">
        <v>227</v>
      </c>
      <c r="BC13" s="416" t="s">
        <v>121</v>
      </c>
      <c r="BD13" s="424" t="s">
        <v>139</v>
      </c>
      <c r="BE13" s="433" t="s">
        <v>141</v>
      </c>
      <c r="BF13" s="436" t="s">
        <v>235</v>
      </c>
      <c r="BG13" s="458" t="s">
        <v>146</v>
      </c>
      <c r="BH13" s="424" t="s">
        <v>148</v>
      </c>
      <c r="BI13" s="608"/>
      <c r="BJ13" s="469" t="s">
        <v>96</v>
      </c>
      <c r="BK13" s="412" t="s">
        <v>97</v>
      </c>
      <c r="BL13" s="416" t="s">
        <v>102</v>
      </c>
      <c r="BM13" s="417" t="s">
        <v>104</v>
      </c>
      <c r="BN13" s="422" t="s">
        <v>227</v>
      </c>
      <c r="BO13" s="416" t="s">
        <v>121</v>
      </c>
      <c r="BP13" s="424" t="s">
        <v>139</v>
      </c>
      <c r="BQ13" s="433" t="s">
        <v>141</v>
      </c>
      <c r="BR13" s="436" t="s">
        <v>235</v>
      </c>
      <c r="BS13" s="458" t="s">
        <v>146</v>
      </c>
      <c r="BT13" s="424" t="s">
        <v>148</v>
      </c>
      <c r="BU13" s="457" t="s">
        <v>169</v>
      </c>
      <c r="BV13" s="470"/>
    </row>
    <row r="14" spans="2:74" s="27" customFormat="1" ht="4.5" customHeight="1">
      <c r="B14" s="172"/>
      <c r="C14" s="98"/>
      <c r="D14" s="173"/>
      <c r="E14" s="174"/>
      <c r="F14" s="26"/>
      <c r="G14" s="26"/>
      <c r="H14" s="2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86"/>
      <c r="U14" s="389"/>
      <c r="V14" s="434"/>
      <c r="W14" s="459"/>
      <c r="X14" s="459"/>
      <c r="Y14" s="425"/>
      <c r="Z14" s="389"/>
      <c r="AA14" s="413"/>
      <c r="AB14" s="179"/>
      <c r="AC14" s="413"/>
      <c r="AD14" s="423"/>
      <c r="AE14" s="179"/>
      <c r="AF14" s="425"/>
      <c r="AG14" s="434"/>
      <c r="AH14" s="390"/>
      <c r="AI14" s="459"/>
      <c r="AJ14" s="425"/>
      <c r="AK14" s="425"/>
      <c r="AL14" s="389"/>
      <c r="AM14" s="413"/>
      <c r="AN14" s="179"/>
      <c r="AO14" s="413"/>
      <c r="AP14" s="423"/>
      <c r="AQ14" s="179"/>
      <c r="AR14" s="425"/>
      <c r="AS14" s="434"/>
      <c r="AT14" s="390"/>
      <c r="AU14" s="459"/>
      <c r="AV14" s="425"/>
      <c r="AW14" s="425"/>
      <c r="AX14" s="389"/>
      <c r="AY14" s="413"/>
      <c r="AZ14" s="179"/>
      <c r="BA14" s="413"/>
      <c r="BB14" s="423"/>
      <c r="BC14" s="179"/>
      <c r="BD14" s="425"/>
      <c r="BE14" s="434"/>
      <c r="BF14" s="390"/>
      <c r="BG14" s="459"/>
      <c r="BH14" s="425"/>
      <c r="BI14" s="425"/>
      <c r="BJ14" s="389"/>
      <c r="BK14" s="413"/>
      <c r="BL14" s="179"/>
      <c r="BM14" s="413"/>
      <c r="BN14" s="423"/>
      <c r="BO14" s="179"/>
      <c r="BP14" s="425"/>
      <c r="BQ14" s="434"/>
      <c r="BR14" s="390"/>
      <c r="BS14" s="459"/>
      <c r="BT14" s="425"/>
      <c r="BU14" s="425"/>
      <c r="BV14" s="470"/>
    </row>
    <row r="15" spans="2:75" s="25" customFormat="1" ht="21.75" customHeight="1">
      <c r="B15" s="175" t="s">
        <v>34</v>
      </c>
      <c r="C15" s="464">
        <v>1389</v>
      </c>
      <c r="D15" s="464">
        <v>2144</v>
      </c>
      <c r="E15" s="462">
        <v>2188</v>
      </c>
      <c r="F15" s="33">
        <v>2200.85083118</v>
      </c>
      <c r="G15" s="32">
        <v>2261.0867645999997</v>
      </c>
      <c r="H15" s="32">
        <v>2364.0222734900008</v>
      </c>
      <c r="I15" s="33">
        <v>2357.0528358500005</v>
      </c>
      <c r="J15" s="33">
        <v>1999.1237960899996</v>
      </c>
      <c r="K15" s="33">
        <v>1855.9752899899995</v>
      </c>
      <c r="L15" s="33">
        <v>1881.3928780000006</v>
      </c>
      <c r="M15" s="33">
        <v>1885.9614884799998</v>
      </c>
      <c r="N15" s="33">
        <v>1895.8605905900001</v>
      </c>
      <c r="O15" s="33">
        <v>1923.9667059200005</v>
      </c>
      <c r="P15" s="33">
        <v>2082.3912708899998</v>
      </c>
      <c r="Q15" s="33">
        <v>2320.18630966</v>
      </c>
      <c r="R15" s="33">
        <v>2410.7572430899995</v>
      </c>
      <c r="S15" s="33">
        <v>2340.572291339998</v>
      </c>
      <c r="T15" s="387">
        <v>2258.8960634599985</v>
      </c>
      <c r="U15" s="391">
        <v>2931.5247573100005</v>
      </c>
      <c r="V15" s="414">
        <v>2816.8010528699997</v>
      </c>
      <c r="W15" s="460">
        <v>2585.67327702</v>
      </c>
      <c r="X15" s="460">
        <v>2512.4269972</v>
      </c>
      <c r="Y15" s="426">
        <v>2847.266591940001</v>
      </c>
      <c r="Z15" s="391">
        <v>2669.7649879099995</v>
      </c>
      <c r="AA15" s="414">
        <v>2280.8565583599984</v>
      </c>
      <c r="AB15" s="33">
        <v>2080.1915407399993</v>
      </c>
      <c r="AC15" s="414">
        <v>2002.289934100001</v>
      </c>
      <c r="AD15" s="387">
        <v>2000.7607678600002</v>
      </c>
      <c r="AE15" s="387">
        <v>1909.2826383400002</v>
      </c>
      <c r="AF15" s="460">
        <v>1829.166610660001</v>
      </c>
      <c r="AG15" s="460">
        <v>1874.6325798299988</v>
      </c>
      <c r="AH15" s="426">
        <v>1899.0710651699999</v>
      </c>
      <c r="AI15" s="460">
        <v>1939.514755</v>
      </c>
      <c r="AJ15" s="426">
        <v>1986.8050023</v>
      </c>
      <c r="AK15" s="426">
        <v>2166.44417054</v>
      </c>
      <c r="AL15" s="391">
        <v>2152.2243202</v>
      </c>
      <c r="AM15" s="414">
        <v>2129.8946967700003</v>
      </c>
      <c r="AN15" s="33">
        <v>2047.14908125</v>
      </c>
      <c r="AO15" s="414">
        <v>1935.69506788</v>
      </c>
      <c r="AP15" s="387">
        <v>2030.1634751700003</v>
      </c>
      <c r="AQ15" s="387">
        <v>2015.78099483</v>
      </c>
      <c r="AR15" s="460">
        <v>1975.9157757899998</v>
      </c>
      <c r="AS15" s="460">
        <v>2031.3514093</v>
      </c>
      <c r="AT15" s="426">
        <v>2010.12565047</v>
      </c>
      <c r="AU15" s="460">
        <v>1984.13708058</v>
      </c>
      <c r="AV15" s="426">
        <v>2045.5234255300002</v>
      </c>
      <c r="AW15" s="426">
        <v>2107.9011715799998</v>
      </c>
      <c r="AX15" s="391">
        <v>1980.47300011</v>
      </c>
      <c r="AY15" s="414">
        <v>1989.9581064699992</v>
      </c>
      <c r="AZ15" s="33">
        <v>1861.0959683699998</v>
      </c>
      <c r="BA15" s="414">
        <v>1931.8507315999998</v>
      </c>
      <c r="BB15" s="387">
        <v>1914.63034101</v>
      </c>
      <c r="BC15" s="387">
        <v>1900.96108086</v>
      </c>
      <c r="BD15" s="460">
        <v>1828.24982821</v>
      </c>
      <c r="BE15" s="460">
        <v>1825.68097081</v>
      </c>
      <c r="BF15" s="426">
        <v>1819.54790019</v>
      </c>
      <c r="BG15" s="460">
        <v>1796.78723956</v>
      </c>
      <c r="BH15" s="426">
        <v>1967.4082110200002</v>
      </c>
      <c r="BI15" s="426">
        <v>2126.57320338</v>
      </c>
      <c r="BJ15" s="391">
        <v>1826.4103064399999</v>
      </c>
      <c r="BK15" s="414">
        <v>1914.59361202</v>
      </c>
      <c r="BL15" s="33">
        <v>1886.01393321</v>
      </c>
      <c r="BM15" s="414">
        <v>0</v>
      </c>
      <c r="BN15" s="387">
        <v>0</v>
      </c>
      <c r="BO15" s="387">
        <v>0</v>
      </c>
      <c r="BP15" s="460">
        <v>0</v>
      </c>
      <c r="BQ15" s="460">
        <v>0</v>
      </c>
      <c r="BR15" s="426">
        <v>0</v>
      </c>
      <c r="BS15" s="460">
        <v>0</v>
      </c>
      <c r="BT15" s="426">
        <v>0</v>
      </c>
      <c r="BU15" s="426">
        <v>0</v>
      </c>
      <c r="BV15" s="488"/>
      <c r="BW15" s="444"/>
    </row>
    <row r="16" spans="2:75" s="25" customFormat="1" ht="21.75" customHeight="1">
      <c r="B16" s="175" t="s">
        <v>33</v>
      </c>
      <c r="C16" s="464">
        <v>256</v>
      </c>
      <c r="D16" s="464">
        <v>389</v>
      </c>
      <c r="E16" s="462">
        <v>590</v>
      </c>
      <c r="F16" s="33">
        <v>1030.77857448</v>
      </c>
      <c r="G16" s="32">
        <v>1717.19549295</v>
      </c>
      <c r="H16" s="32">
        <f>1917.56063677+1.57827652</f>
        <v>1919.13891329</v>
      </c>
      <c r="I16" s="33">
        <v>1914.3175079399998</v>
      </c>
      <c r="J16" s="33">
        <f>1621.89330919+1.56411224</f>
        <v>1623.45742143</v>
      </c>
      <c r="K16" s="33">
        <v>1321.24310121</v>
      </c>
      <c r="L16" s="33">
        <v>1342.73701548</v>
      </c>
      <c r="M16" s="33">
        <v>1387.14391579</v>
      </c>
      <c r="N16" s="33">
        <v>1486.45493138</v>
      </c>
      <c r="O16" s="33">
        <v>1586.4899930800002</v>
      </c>
      <c r="P16" s="33">
        <v>1581.29893494</v>
      </c>
      <c r="Q16" s="33">
        <v>1614.5149583</v>
      </c>
      <c r="R16" s="33">
        <v>1687.77919108</v>
      </c>
      <c r="S16" s="33">
        <v>3504.0928333699994</v>
      </c>
      <c r="T16" s="387">
        <v>4201.51382237</v>
      </c>
      <c r="U16" s="391">
        <v>4539.076503679999</v>
      </c>
      <c r="V16" s="414">
        <v>5985.46242653</v>
      </c>
      <c r="W16" s="460">
        <v>7233.929935290001</v>
      </c>
      <c r="X16" s="460">
        <v>6012.22120457</v>
      </c>
      <c r="Y16" s="426">
        <v>6614.97187366</v>
      </c>
      <c r="Z16" s="391">
        <v>6532.3018552</v>
      </c>
      <c r="AA16" s="414">
        <v>6254.41370703</v>
      </c>
      <c r="AB16" s="33">
        <v>6211.728456299999</v>
      </c>
      <c r="AC16" s="414">
        <v>6174.95095902</v>
      </c>
      <c r="AD16" s="387">
        <v>7204.2090273799995</v>
      </c>
      <c r="AE16" s="387">
        <v>7147.625556479999</v>
      </c>
      <c r="AF16" s="460">
        <v>7128.95570324</v>
      </c>
      <c r="AG16" s="460">
        <v>7137.063251669999</v>
      </c>
      <c r="AH16" s="426">
        <v>7162.63829835</v>
      </c>
      <c r="AI16" s="460">
        <v>7256.429646359999</v>
      </c>
      <c r="AJ16" s="426">
        <v>7243.23665188</v>
      </c>
      <c r="AK16" s="426">
        <v>7402.06335374</v>
      </c>
      <c r="AL16" s="391">
        <v>7364.97449206</v>
      </c>
      <c r="AM16" s="414">
        <v>7164.30753646</v>
      </c>
      <c r="AN16" s="33">
        <v>7154.238466520001</v>
      </c>
      <c r="AO16" s="414">
        <v>7309.09406754</v>
      </c>
      <c r="AP16" s="387">
        <v>7179.37547441</v>
      </c>
      <c r="AQ16" s="387">
        <v>7042.059833729999</v>
      </c>
      <c r="AR16" s="460">
        <v>7150.61353248</v>
      </c>
      <c r="AS16" s="460">
        <v>7170.286449939999</v>
      </c>
      <c r="AT16" s="426">
        <v>7142.417474749999</v>
      </c>
      <c r="AU16" s="460">
        <v>7456.628515699999</v>
      </c>
      <c r="AV16" s="426">
        <v>7473.773917119999</v>
      </c>
      <c r="AW16" s="426">
        <v>7665.39460745</v>
      </c>
      <c r="AX16" s="391">
        <v>7369.57041976</v>
      </c>
      <c r="AY16" s="414">
        <v>7222.3523399900005</v>
      </c>
      <c r="AZ16" s="33">
        <v>7411.5130261</v>
      </c>
      <c r="BA16" s="414">
        <v>7395.63876287</v>
      </c>
      <c r="BB16" s="387">
        <v>7333.8997172300005</v>
      </c>
      <c r="BC16" s="387">
        <v>7284.63194929</v>
      </c>
      <c r="BD16" s="460">
        <v>7377.4361053</v>
      </c>
      <c r="BE16" s="460">
        <v>7629.45213082</v>
      </c>
      <c r="BF16" s="426">
        <v>7708.95916064</v>
      </c>
      <c r="BG16" s="460">
        <v>7869.10436094</v>
      </c>
      <c r="BH16" s="426">
        <v>7883.29195953</v>
      </c>
      <c r="BI16" s="426">
        <v>8082.45510097</v>
      </c>
      <c r="BJ16" s="391">
        <v>7915.07475653</v>
      </c>
      <c r="BK16" s="414">
        <v>7503.9574995600005</v>
      </c>
      <c r="BL16" s="33">
        <v>7634.23402307</v>
      </c>
      <c r="BM16" s="414">
        <v>0</v>
      </c>
      <c r="BN16" s="387">
        <v>0</v>
      </c>
      <c r="BO16" s="387">
        <v>0</v>
      </c>
      <c r="BP16" s="460">
        <v>0</v>
      </c>
      <c r="BQ16" s="460">
        <v>0</v>
      </c>
      <c r="BR16" s="426">
        <v>0</v>
      </c>
      <c r="BS16" s="460">
        <v>0</v>
      </c>
      <c r="BT16" s="426">
        <v>0</v>
      </c>
      <c r="BU16" s="426">
        <v>0</v>
      </c>
      <c r="BV16" s="489"/>
      <c r="BW16" s="444"/>
    </row>
    <row r="17" spans="2:74" s="25" customFormat="1" ht="6" customHeight="1">
      <c r="B17" s="176"/>
      <c r="C17" s="465"/>
      <c r="D17" s="465"/>
      <c r="E17" s="463"/>
      <c r="F17" s="35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88"/>
      <c r="U17" s="392"/>
      <c r="V17" s="435"/>
      <c r="W17" s="461"/>
      <c r="X17" s="461"/>
      <c r="Y17" s="427"/>
      <c r="Z17" s="392"/>
      <c r="AA17" s="415"/>
      <c r="AB17" s="35"/>
      <c r="AC17" s="415"/>
      <c r="AD17" s="388"/>
      <c r="AE17" s="388"/>
      <c r="AF17" s="461"/>
      <c r="AG17" s="461"/>
      <c r="AH17" s="427"/>
      <c r="AI17" s="461"/>
      <c r="AJ17" s="427"/>
      <c r="AK17" s="427"/>
      <c r="AL17" s="392"/>
      <c r="AM17" s="415"/>
      <c r="AN17" s="35"/>
      <c r="AO17" s="415"/>
      <c r="AP17" s="388"/>
      <c r="AQ17" s="388"/>
      <c r="AR17" s="461"/>
      <c r="AS17" s="461"/>
      <c r="AT17" s="427"/>
      <c r="AU17" s="461"/>
      <c r="AV17" s="427"/>
      <c r="AW17" s="427"/>
      <c r="AX17" s="392"/>
      <c r="AY17" s="415"/>
      <c r="AZ17" s="35"/>
      <c r="BA17" s="415"/>
      <c r="BB17" s="388"/>
      <c r="BC17" s="388"/>
      <c r="BD17" s="461"/>
      <c r="BE17" s="461"/>
      <c r="BF17" s="427"/>
      <c r="BG17" s="461"/>
      <c r="BH17" s="427"/>
      <c r="BI17" s="427"/>
      <c r="BJ17" s="392"/>
      <c r="BK17" s="415"/>
      <c r="BL17" s="35"/>
      <c r="BM17" s="415"/>
      <c r="BN17" s="388"/>
      <c r="BO17" s="388"/>
      <c r="BP17" s="461"/>
      <c r="BQ17" s="461"/>
      <c r="BR17" s="427"/>
      <c r="BS17" s="461"/>
      <c r="BT17" s="427"/>
      <c r="BU17" s="427"/>
      <c r="BV17" s="471"/>
    </row>
    <row r="18" spans="2:74" s="27" customFormat="1" ht="15" customHeight="1">
      <c r="B18" s="587" t="s">
        <v>98</v>
      </c>
      <c r="C18" s="589">
        <f aca="true" t="shared" si="0" ref="C18:H18">SUM(C15:C16)</f>
        <v>1645</v>
      </c>
      <c r="D18" s="589">
        <f t="shared" si="0"/>
        <v>2533</v>
      </c>
      <c r="E18" s="580">
        <f t="shared" si="0"/>
        <v>2778</v>
      </c>
      <c r="F18" s="589">
        <f t="shared" si="0"/>
        <v>3231.62940566</v>
      </c>
      <c r="G18" s="591">
        <f t="shared" si="0"/>
        <v>3978.2822575499995</v>
      </c>
      <c r="H18" s="591">
        <f t="shared" si="0"/>
        <v>4283.16118678</v>
      </c>
      <c r="I18" s="578">
        <f aca="true" t="shared" si="1" ref="I18:N18">SUM(I15:I16)</f>
        <v>4271.37034379</v>
      </c>
      <c r="J18" s="578">
        <f t="shared" si="1"/>
        <v>3622.58121752</v>
      </c>
      <c r="K18" s="578">
        <f t="shared" si="1"/>
        <v>3177.2183911999996</v>
      </c>
      <c r="L18" s="578">
        <f t="shared" si="1"/>
        <v>3224.1298934800006</v>
      </c>
      <c r="M18" s="578">
        <f t="shared" si="1"/>
        <v>3273.10540427</v>
      </c>
      <c r="N18" s="578">
        <f t="shared" si="1"/>
        <v>3382.31552197</v>
      </c>
      <c r="O18" s="578">
        <f>+O15+O16</f>
        <v>3510.4566990000008</v>
      </c>
      <c r="P18" s="578">
        <f>+P15+P16</f>
        <v>3663.6902058299997</v>
      </c>
      <c r="Q18" s="578">
        <f>+Q15+Q16</f>
        <v>3934.70126796</v>
      </c>
      <c r="R18" s="578">
        <f>+R15+R16</f>
        <v>4098.53643417</v>
      </c>
      <c r="S18" s="578">
        <f>+S15+S16</f>
        <v>5844.665124709998</v>
      </c>
      <c r="T18" s="584">
        <f aca="true" t="shared" si="2" ref="T18:Y18">+T16+T15</f>
        <v>6460.4098858299985</v>
      </c>
      <c r="U18" s="593">
        <f t="shared" si="2"/>
        <v>7470.60126099</v>
      </c>
      <c r="V18" s="584">
        <f t="shared" si="2"/>
        <v>8802.2634794</v>
      </c>
      <c r="W18" s="570">
        <f t="shared" si="2"/>
        <v>9819.603212310001</v>
      </c>
      <c r="X18" s="570">
        <f t="shared" si="2"/>
        <v>8524.64820177</v>
      </c>
      <c r="Y18" s="576">
        <f t="shared" si="2"/>
        <v>9462.238465600001</v>
      </c>
      <c r="Z18" s="570">
        <f aca="true" t="shared" si="3" ref="Z18:AJ18">+Z16+Z15</f>
        <v>9202.06684311</v>
      </c>
      <c r="AA18" s="580">
        <f t="shared" si="3"/>
        <v>8535.270265389998</v>
      </c>
      <c r="AB18" s="593">
        <f t="shared" si="3"/>
        <v>8291.919997039999</v>
      </c>
      <c r="AC18" s="580">
        <f t="shared" si="3"/>
        <v>8177.240893120001</v>
      </c>
      <c r="AD18" s="584">
        <f t="shared" si="3"/>
        <v>9204.96979524</v>
      </c>
      <c r="AE18" s="593">
        <f t="shared" si="3"/>
        <v>9056.90819482</v>
      </c>
      <c r="AF18" s="576">
        <f t="shared" si="3"/>
        <v>8958.122313900001</v>
      </c>
      <c r="AG18" s="584">
        <f t="shared" si="3"/>
        <v>9011.695831499997</v>
      </c>
      <c r="AH18" s="578">
        <f t="shared" si="3"/>
        <v>9061.70936352</v>
      </c>
      <c r="AI18" s="570">
        <f t="shared" si="3"/>
        <v>9195.944401359999</v>
      </c>
      <c r="AJ18" s="576">
        <f t="shared" si="3"/>
        <v>9230.04165418</v>
      </c>
      <c r="AK18" s="576">
        <f>+AK16+AK15</f>
        <v>9568.50752428</v>
      </c>
      <c r="AL18" s="570">
        <f aca="true" t="shared" si="4" ref="AL18:AV18">+AL16+AL15</f>
        <v>9517.19881226</v>
      </c>
      <c r="AM18" s="580">
        <f t="shared" si="4"/>
        <v>9294.20223323</v>
      </c>
      <c r="AN18" s="593">
        <f t="shared" si="4"/>
        <v>9201.38754777</v>
      </c>
      <c r="AO18" s="580">
        <f t="shared" si="4"/>
        <v>9244.78913542</v>
      </c>
      <c r="AP18" s="584">
        <f t="shared" si="4"/>
        <v>9209.538949580001</v>
      </c>
      <c r="AQ18" s="593">
        <f t="shared" si="4"/>
        <v>9057.840828559998</v>
      </c>
      <c r="AR18" s="576">
        <f t="shared" si="4"/>
        <v>9126.52930827</v>
      </c>
      <c r="AS18" s="584">
        <f t="shared" si="4"/>
        <v>9201.63785924</v>
      </c>
      <c r="AT18" s="578">
        <f t="shared" si="4"/>
        <v>9152.54312522</v>
      </c>
      <c r="AU18" s="570">
        <f t="shared" si="4"/>
        <v>9440.76559628</v>
      </c>
      <c r="AV18" s="576">
        <f t="shared" si="4"/>
        <v>9519.29734265</v>
      </c>
      <c r="AW18" s="576">
        <f>+AW16+AW15</f>
        <v>9773.295779029999</v>
      </c>
      <c r="AX18" s="570">
        <f aca="true" t="shared" si="5" ref="AX18:BH18">+AX16+AX15</f>
        <v>9350.04341987</v>
      </c>
      <c r="AY18" s="580">
        <f t="shared" si="5"/>
        <v>9212.31044646</v>
      </c>
      <c r="AZ18" s="593">
        <f t="shared" si="5"/>
        <v>9272.60899447</v>
      </c>
      <c r="BA18" s="580">
        <f t="shared" si="5"/>
        <v>9327.48949447</v>
      </c>
      <c r="BB18" s="584">
        <f t="shared" si="5"/>
        <v>9248.530058240001</v>
      </c>
      <c r="BC18" s="593">
        <f t="shared" si="5"/>
        <v>9185.593030150001</v>
      </c>
      <c r="BD18" s="576">
        <f t="shared" si="5"/>
        <v>9205.68593351</v>
      </c>
      <c r="BE18" s="584">
        <f t="shared" si="5"/>
        <v>9455.13310163</v>
      </c>
      <c r="BF18" s="578">
        <f t="shared" si="5"/>
        <v>9528.50706083</v>
      </c>
      <c r="BG18" s="570">
        <f t="shared" si="5"/>
        <v>9665.891600500001</v>
      </c>
      <c r="BH18" s="576">
        <f t="shared" si="5"/>
        <v>9850.70017055</v>
      </c>
      <c r="BI18" s="576">
        <f aca="true" t="shared" si="6" ref="BI18:BN18">+BI16+BI15</f>
        <v>10209.02830435</v>
      </c>
      <c r="BJ18" s="570">
        <f t="shared" si="6"/>
        <v>9741.48506297</v>
      </c>
      <c r="BK18" s="580">
        <f t="shared" si="6"/>
        <v>9418.55111158</v>
      </c>
      <c r="BL18" s="593">
        <f t="shared" si="6"/>
        <v>9520.24795628</v>
      </c>
      <c r="BM18" s="580">
        <f t="shared" si="6"/>
        <v>0</v>
      </c>
      <c r="BN18" s="584">
        <f t="shared" si="6"/>
        <v>0</v>
      </c>
      <c r="BO18" s="593">
        <f aca="true" t="shared" si="7" ref="BO18:BT18">+BO16+BO15</f>
        <v>0</v>
      </c>
      <c r="BP18" s="576">
        <f t="shared" si="7"/>
        <v>0</v>
      </c>
      <c r="BQ18" s="584">
        <f t="shared" si="7"/>
        <v>0</v>
      </c>
      <c r="BR18" s="578">
        <f t="shared" si="7"/>
        <v>0</v>
      </c>
      <c r="BS18" s="570">
        <f t="shared" si="7"/>
        <v>0</v>
      </c>
      <c r="BT18" s="576">
        <f t="shared" si="7"/>
        <v>0</v>
      </c>
      <c r="BU18" s="576">
        <f>+BU16+BU15</f>
        <v>0</v>
      </c>
      <c r="BV18" s="470"/>
    </row>
    <row r="19" spans="2:75" s="27" customFormat="1" ht="15" customHeight="1">
      <c r="B19" s="588"/>
      <c r="C19" s="590"/>
      <c r="D19" s="590"/>
      <c r="E19" s="581"/>
      <c r="F19" s="590"/>
      <c r="G19" s="592"/>
      <c r="H19" s="592"/>
      <c r="I19" s="579"/>
      <c r="J19" s="579"/>
      <c r="K19" s="579"/>
      <c r="L19" s="579"/>
      <c r="M19" s="579"/>
      <c r="N19" s="579"/>
      <c r="O19" s="579"/>
      <c r="P19" s="579"/>
      <c r="Q19" s="579"/>
      <c r="R19" s="579"/>
      <c r="S19" s="579"/>
      <c r="T19" s="585"/>
      <c r="U19" s="594"/>
      <c r="V19" s="585"/>
      <c r="W19" s="571"/>
      <c r="X19" s="571"/>
      <c r="Y19" s="577"/>
      <c r="Z19" s="571"/>
      <c r="AA19" s="581"/>
      <c r="AB19" s="594"/>
      <c r="AC19" s="581"/>
      <c r="AD19" s="585"/>
      <c r="AE19" s="594"/>
      <c r="AF19" s="577"/>
      <c r="AG19" s="585"/>
      <c r="AH19" s="579"/>
      <c r="AI19" s="571"/>
      <c r="AJ19" s="577"/>
      <c r="AK19" s="577"/>
      <c r="AL19" s="571"/>
      <c r="AM19" s="581"/>
      <c r="AN19" s="594"/>
      <c r="AO19" s="581"/>
      <c r="AP19" s="585"/>
      <c r="AQ19" s="594"/>
      <c r="AR19" s="577"/>
      <c r="AS19" s="585"/>
      <c r="AT19" s="579"/>
      <c r="AU19" s="571"/>
      <c r="AV19" s="577"/>
      <c r="AW19" s="577"/>
      <c r="AX19" s="571"/>
      <c r="AY19" s="581"/>
      <c r="AZ19" s="594"/>
      <c r="BA19" s="581"/>
      <c r="BB19" s="585"/>
      <c r="BC19" s="594"/>
      <c r="BD19" s="577"/>
      <c r="BE19" s="585"/>
      <c r="BF19" s="579"/>
      <c r="BG19" s="571"/>
      <c r="BH19" s="577"/>
      <c r="BI19" s="577"/>
      <c r="BJ19" s="571"/>
      <c r="BK19" s="581"/>
      <c r="BL19" s="594"/>
      <c r="BM19" s="581"/>
      <c r="BN19" s="585"/>
      <c r="BO19" s="594"/>
      <c r="BP19" s="577"/>
      <c r="BQ19" s="585"/>
      <c r="BR19" s="579"/>
      <c r="BS19" s="571"/>
      <c r="BT19" s="577"/>
      <c r="BU19" s="577"/>
      <c r="BV19" s="470"/>
      <c r="BW19" s="444"/>
    </row>
    <row r="20" spans="2:7" ht="7.5" customHeight="1">
      <c r="B20" s="36"/>
      <c r="C20" s="37"/>
      <c r="D20" s="37"/>
      <c r="E20" s="37"/>
      <c r="F20" s="37"/>
      <c r="G20" s="37"/>
    </row>
    <row r="21" spans="2:66" ht="7.5" customHeight="1">
      <c r="B21" s="36"/>
      <c r="C21" s="37"/>
      <c r="D21" s="37"/>
      <c r="E21" s="37"/>
      <c r="F21" s="37"/>
      <c r="G21" s="37"/>
      <c r="T21" s="177"/>
      <c r="U21" s="177"/>
      <c r="V21" s="177"/>
      <c r="AP21" s="499"/>
      <c r="BB21" s="499"/>
      <c r="BN21" s="499"/>
    </row>
    <row r="22" spans="2:73" s="25" customFormat="1" ht="28.5" customHeight="1">
      <c r="B22" s="586"/>
      <c r="C22" s="586"/>
      <c r="D22" s="586"/>
      <c r="E22" s="586"/>
      <c r="F22" s="586"/>
      <c r="G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78"/>
      <c r="U22" s="178"/>
      <c r="V22" s="178"/>
      <c r="W22" s="199"/>
      <c r="X22" s="199"/>
      <c r="Y22" s="199"/>
      <c r="Z22" s="185"/>
      <c r="AA22" s="185"/>
      <c r="AB22" s="185"/>
      <c r="AC22" s="199"/>
      <c r="AD22" s="479"/>
      <c r="AE22" s="199"/>
      <c r="AF22" s="199"/>
      <c r="AG22" s="199"/>
      <c r="AH22" s="199"/>
      <c r="AI22" s="199"/>
      <c r="AJ22" s="199"/>
      <c r="AK22" s="199"/>
      <c r="AL22" s="185"/>
      <c r="AM22" s="185"/>
      <c r="AN22" s="185"/>
      <c r="AO22" s="199"/>
      <c r="AP22" s="479"/>
      <c r="AQ22" s="199"/>
      <c r="AR22" s="506"/>
      <c r="AS22" s="199"/>
      <c r="AT22" s="199"/>
      <c r="AU22" s="199"/>
      <c r="AV22" s="199"/>
      <c r="AW22" s="199"/>
      <c r="AX22" s="185"/>
      <c r="AY22" s="185"/>
      <c r="AZ22" s="185"/>
      <c r="BA22" s="199"/>
      <c r="BB22" s="479"/>
      <c r="BC22" s="199"/>
      <c r="BD22" s="506"/>
      <c r="BE22" s="199"/>
      <c r="BF22" s="199"/>
      <c r="BG22" s="199"/>
      <c r="BH22" s="199"/>
      <c r="BI22" s="199"/>
      <c r="BJ22" s="185"/>
      <c r="BK22" s="185"/>
      <c r="BL22" s="185"/>
      <c r="BM22" s="199"/>
      <c r="BN22" s="479"/>
      <c r="BO22" s="199"/>
      <c r="BP22" s="506"/>
      <c r="BQ22" s="199"/>
      <c r="BR22" s="199"/>
      <c r="BS22" s="199"/>
      <c r="BT22" s="199"/>
      <c r="BU22" s="199"/>
    </row>
    <row r="23" spans="2:73" s="25" customFormat="1" ht="28.5" customHeight="1">
      <c r="B23" s="586"/>
      <c r="C23" s="586"/>
      <c r="D23" s="586"/>
      <c r="E23" s="586"/>
      <c r="F23" s="586"/>
      <c r="G23" s="24"/>
      <c r="I23" s="10"/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Y23" s="477"/>
      <c r="AD23" s="479"/>
      <c r="AF23" s="199"/>
      <c r="AG23" s="479"/>
      <c r="AK23" s="477"/>
      <c r="AN23" s="477"/>
      <c r="AP23" s="479"/>
      <c r="AR23" s="199"/>
      <c r="AS23" s="507"/>
      <c r="AV23" s="479"/>
      <c r="AW23" s="477"/>
      <c r="AZ23" s="477"/>
      <c r="BB23" s="479"/>
      <c r="BD23" s="199"/>
      <c r="BE23" s="507"/>
      <c r="BH23" s="479"/>
      <c r="BI23" s="477"/>
      <c r="BL23" s="477"/>
      <c r="BN23" s="479"/>
      <c r="BP23" s="199"/>
      <c r="BQ23" s="507"/>
      <c r="BT23" s="479"/>
      <c r="BU23" s="477"/>
    </row>
    <row r="24" spans="2:72" s="25" customFormat="1" ht="15.75" customHeight="1">
      <c r="B24" s="39"/>
      <c r="C24" s="6"/>
      <c r="D24" s="6"/>
      <c r="E24" s="6"/>
      <c r="F24" s="24"/>
      <c r="G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AF24" s="199"/>
      <c r="AR24" s="199"/>
      <c r="BD24" s="199"/>
      <c r="BH24" s="527"/>
      <c r="BP24" s="199"/>
      <c r="BT24" s="527"/>
    </row>
    <row r="25" spans="3:22" ht="12.75">
      <c r="C25" s="40"/>
      <c r="D25" s="41"/>
      <c r="E25" s="41"/>
      <c r="F25" s="41"/>
      <c r="G25" s="41"/>
      <c r="T25" s="157"/>
      <c r="U25" s="157"/>
      <c r="V25" s="157"/>
    </row>
    <row r="26" spans="3:7" ht="12.75">
      <c r="C26" s="40"/>
      <c r="D26" s="41"/>
      <c r="E26" s="41"/>
      <c r="F26" s="41"/>
      <c r="G26" s="41"/>
    </row>
    <row r="27" spans="3:7" ht="12.75">
      <c r="C27" s="40"/>
      <c r="D27" s="41"/>
      <c r="E27" s="41"/>
      <c r="F27" s="41"/>
      <c r="G27" s="41"/>
    </row>
    <row r="30" spans="8:22" ht="12.75" customHeight="1"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8:22" ht="12.75"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8:22" ht="12.75"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8:22" ht="12.75"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8:22" ht="12.75"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8:22" ht="12.75"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51" spans="3:5" ht="12.75">
      <c r="C51" s="46"/>
      <c r="D51" s="46"/>
      <c r="E51" s="46"/>
    </row>
  </sheetData>
  <sheetProtection/>
  <mergeCells count="93">
    <mergeCell ref="BG18:BG19"/>
    <mergeCell ref="BH18:BH19"/>
    <mergeCell ref="BI18:BI19"/>
    <mergeCell ref="BI12:BI13"/>
    <mergeCell ref="AX18:AX19"/>
    <mergeCell ref="AY18:AY19"/>
    <mergeCell ref="AZ18:AZ19"/>
    <mergeCell ref="BA18:BA19"/>
    <mergeCell ref="BB18:BB19"/>
    <mergeCell ref="BC18:BC19"/>
    <mergeCell ref="BD18:BD19"/>
    <mergeCell ref="BE18:BE19"/>
    <mergeCell ref="BF18:BF19"/>
    <mergeCell ref="AU18:AU19"/>
    <mergeCell ref="AV18:AV19"/>
    <mergeCell ref="AW18:AW19"/>
    <mergeCell ref="AW12:AW13"/>
    <mergeCell ref="AL18:AL19"/>
    <mergeCell ref="AM18:AM19"/>
    <mergeCell ref="AN18:AN19"/>
    <mergeCell ref="AO18:AO19"/>
    <mergeCell ref="AP18:AP19"/>
    <mergeCell ref="AQ18:AQ19"/>
    <mergeCell ref="AR18:AR19"/>
    <mergeCell ref="AS18:AS19"/>
    <mergeCell ref="AT18:AT19"/>
    <mergeCell ref="AK12:AK13"/>
    <mergeCell ref="AF18:AF19"/>
    <mergeCell ref="AG18:AG19"/>
    <mergeCell ref="AH18:AH19"/>
    <mergeCell ref="AI18:AI19"/>
    <mergeCell ref="AJ18:AJ19"/>
    <mergeCell ref="AK18:AK19"/>
    <mergeCell ref="Z18:Z19"/>
    <mergeCell ref="AA18:AA19"/>
    <mergeCell ref="AB18:AB19"/>
    <mergeCell ref="AC18:AC19"/>
    <mergeCell ref="AD18:AD19"/>
    <mergeCell ref="AE18:AE19"/>
    <mergeCell ref="Y18:Y19"/>
    <mergeCell ref="Y12:Y13"/>
    <mergeCell ref="B2:F2"/>
    <mergeCell ref="B3:F3"/>
    <mergeCell ref="E12:E13"/>
    <mergeCell ref="U18:U19"/>
    <mergeCell ref="D12:D13"/>
    <mergeCell ref="O18:O19"/>
    <mergeCell ref="L18:L19"/>
    <mergeCell ref="P18:P19"/>
    <mergeCell ref="BP18:BP19"/>
    <mergeCell ref="BJ12:BU12"/>
    <mergeCell ref="BN18:BN19"/>
    <mergeCell ref="BJ18:BJ19"/>
    <mergeCell ref="T12:T13"/>
    <mergeCell ref="BO18:BO19"/>
    <mergeCell ref="X12:X13"/>
    <mergeCell ref="X18:X19"/>
    <mergeCell ref="V12:V13"/>
    <mergeCell ref="V18:V19"/>
    <mergeCell ref="BL18:BL19"/>
    <mergeCell ref="BT18:BT19"/>
    <mergeCell ref="BS18:BS19"/>
    <mergeCell ref="H18:H19"/>
    <mergeCell ref="I18:I19"/>
    <mergeCell ref="Q18:Q19"/>
    <mergeCell ref="R18:R19"/>
    <mergeCell ref="BM18:BM19"/>
    <mergeCell ref="T18:T19"/>
    <mergeCell ref="BR18:BR19"/>
    <mergeCell ref="B23:F23"/>
    <mergeCell ref="B18:B19"/>
    <mergeCell ref="C18:C19"/>
    <mergeCell ref="D18:D19"/>
    <mergeCell ref="E18:E19"/>
    <mergeCell ref="G18:G19"/>
    <mergeCell ref="B22:F22"/>
    <mergeCell ref="F18:F19"/>
    <mergeCell ref="BU18:BU19"/>
    <mergeCell ref="J18:J19"/>
    <mergeCell ref="S18:S19"/>
    <mergeCell ref="N18:N19"/>
    <mergeCell ref="S12:S13"/>
    <mergeCell ref="K18:K19"/>
    <mergeCell ref="BK18:BK19"/>
    <mergeCell ref="U12:U13"/>
    <mergeCell ref="M18:M19"/>
    <mergeCell ref="BQ18:BQ19"/>
    <mergeCell ref="W12:W13"/>
    <mergeCell ref="W18:W19"/>
    <mergeCell ref="B12:B13"/>
    <mergeCell ref="C12:C13"/>
    <mergeCell ref="F12:F13"/>
    <mergeCell ref="R12:R13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2" customWidth="1"/>
    <col min="2" max="2" width="44.421875" style="2" customWidth="1"/>
    <col min="3" max="3" width="19.7109375" style="85" customWidth="1"/>
    <col min="4" max="4" width="19.7109375" style="2" customWidth="1"/>
    <col min="5" max="5" width="11.421875" style="168" customWidth="1"/>
    <col min="6" max="6" width="17.28125" style="168" customWidth="1"/>
    <col min="7" max="7" width="20.00390625" style="168" customWidth="1"/>
    <col min="8" max="8" width="19.140625" style="168" bestFit="1" customWidth="1"/>
    <col min="9" max="9" width="13.00390625" style="168" bestFit="1" customWidth="1"/>
    <col min="10" max="10" width="11.421875" style="168" customWidth="1"/>
    <col min="11" max="12" width="11.421875" style="2" customWidth="1"/>
    <col min="13" max="14" width="11.421875" style="186" customWidth="1"/>
    <col min="15" max="16384" width="11.421875" style="2" customWidth="1"/>
  </cols>
  <sheetData>
    <row r="1" spans="2:6" ht="12.75">
      <c r="B1" s="20"/>
      <c r="F1" s="344"/>
    </row>
    <row r="2" spans="2:14" s="1" customFormat="1" ht="13.5" customHeight="1">
      <c r="B2" s="602"/>
      <c r="C2" s="602"/>
      <c r="D2" s="602"/>
      <c r="E2" s="168"/>
      <c r="F2" s="344"/>
      <c r="G2" s="168"/>
      <c r="H2" s="168"/>
      <c r="I2" s="168"/>
      <c r="J2" s="168"/>
      <c r="M2" s="221"/>
      <c r="N2" s="221"/>
    </row>
    <row r="3" spans="2:14" s="1" customFormat="1" ht="13.5" customHeight="1">
      <c r="B3" s="602"/>
      <c r="C3" s="602"/>
      <c r="D3" s="602"/>
      <c r="E3" s="168"/>
      <c r="F3" s="344"/>
      <c r="G3" s="168"/>
      <c r="H3" s="168"/>
      <c r="I3" s="168"/>
      <c r="J3" s="168"/>
      <c r="M3" s="221"/>
      <c r="N3" s="221"/>
    </row>
    <row r="4" spans="2:14" s="1" customFormat="1" ht="18">
      <c r="B4" s="602"/>
      <c r="C4" s="602"/>
      <c r="D4" s="602"/>
      <c r="E4" s="168"/>
      <c r="F4" s="344"/>
      <c r="G4" s="168"/>
      <c r="H4" s="168"/>
      <c r="I4" s="168"/>
      <c r="J4" s="168"/>
      <c r="M4" s="221"/>
      <c r="N4" s="221"/>
    </row>
    <row r="5" spans="2:14" s="13" customFormat="1" ht="18">
      <c r="B5" s="127" t="s">
        <v>12</v>
      </c>
      <c r="C5" s="127"/>
      <c r="D5" s="127"/>
      <c r="E5" s="168"/>
      <c r="F5" s="344"/>
      <c r="H5" s="168"/>
      <c r="I5" s="270"/>
      <c r="J5" s="168"/>
      <c r="M5" s="222"/>
      <c r="N5" s="222"/>
    </row>
    <row r="6" spans="2:7" ht="18">
      <c r="B6" s="309" t="s">
        <v>133</v>
      </c>
      <c r="C6" s="309"/>
      <c r="D6" s="309"/>
      <c r="F6" s="344"/>
      <c r="G6" s="269"/>
    </row>
    <row r="7" spans="2:7" ht="18">
      <c r="B7" s="309" t="s">
        <v>132</v>
      </c>
      <c r="C7" s="309"/>
      <c r="D7" s="309"/>
      <c r="F7" s="344"/>
      <c r="G7" s="271"/>
    </row>
    <row r="8" spans="2:6" ht="15.75">
      <c r="B8" s="181" t="s">
        <v>150</v>
      </c>
      <c r="C8" s="181"/>
      <c r="D8" s="181"/>
      <c r="F8" s="344"/>
    </row>
    <row r="9" spans="2:14" s="3" customFormat="1" ht="15.75">
      <c r="B9" s="131" t="s">
        <v>260</v>
      </c>
      <c r="C9" s="260"/>
      <c r="D9" s="134"/>
      <c r="E9" s="308">
        <f>+Portada!H39</f>
        <v>3.721</v>
      </c>
      <c r="F9" s="138"/>
      <c r="G9" s="272"/>
      <c r="H9" s="273"/>
      <c r="I9" s="200"/>
      <c r="J9" s="200"/>
      <c r="M9" s="224"/>
      <c r="N9" s="224"/>
    </row>
    <row r="10" spans="2:6" ht="9.75" customHeight="1">
      <c r="B10" s="181"/>
      <c r="C10" s="181"/>
      <c r="D10" s="181"/>
      <c r="F10" s="344"/>
    </row>
    <row r="11" spans="2:12" ht="18.75" customHeight="1">
      <c r="B11" s="613" t="s">
        <v>153</v>
      </c>
      <c r="C11" s="609" t="s">
        <v>85</v>
      </c>
      <c r="D11" s="609" t="s">
        <v>161</v>
      </c>
      <c r="E11" s="310"/>
      <c r="F11" s="318"/>
      <c r="G11" s="310"/>
      <c r="H11" s="310"/>
      <c r="I11" s="310"/>
      <c r="J11" s="310"/>
      <c r="K11" s="311"/>
      <c r="L11" s="311"/>
    </row>
    <row r="12" spans="2:12" ht="18.75" customHeight="1">
      <c r="B12" s="614"/>
      <c r="C12" s="610"/>
      <c r="D12" s="610"/>
      <c r="E12" s="310"/>
      <c r="F12" s="318"/>
      <c r="G12" s="310"/>
      <c r="H12" s="310"/>
      <c r="I12" s="310"/>
      <c r="J12" s="310"/>
      <c r="K12" s="311"/>
      <c r="L12" s="311"/>
    </row>
    <row r="13" spans="2:14" s="16" customFormat="1" ht="9.75" customHeight="1">
      <c r="B13" s="247"/>
      <c r="C13" s="170"/>
      <c r="D13" s="171"/>
      <c r="E13" s="310"/>
      <c r="F13" s="345"/>
      <c r="G13" s="312"/>
      <c r="H13" s="312"/>
      <c r="I13" s="312"/>
      <c r="J13" s="310"/>
      <c r="K13" s="312"/>
      <c r="L13" s="312"/>
      <c r="M13" s="225"/>
      <c r="N13" s="225"/>
    </row>
    <row r="14" spans="2:14" s="13" customFormat="1" ht="19.5" customHeight="1">
      <c r="B14" s="67" t="s">
        <v>19</v>
      </c>
      <c r="C14" s="448">
        <f>SUM(C15:C16)</f>
        <v>1474409.16465</v>
      </c>
      <c r="D14" s="446">
        <f>SUM(D15:D16)</f>
        <v>5486276.50166</v>
      </c>
      <c r="E14" s="310"/>
      <c r="F14" s="472"/>
      <c r="G14" s="313"/>
      <c r="H14" s="313"/>
      <c r="I14" s="313"/>
      <c r="J14" s="310"/>
      <c r="K14" s="310"/>
      <c r="L14" s="310"/>
      <c r="M14" s="220"/>
      <c r="N14" s="220"/>
    </row>
    <row r="15" spans="2:14" s="13" customFormat="1" ht="16.5" customHeight="1">
      <c r="B15" s="68" t="s">
        <v>24</v>
      </c>
      <c r="C15" s="447">
        <v>543300.67756</v>
      </c>
      <c r="D15" s="447">
        <f>ROUND(+C15*$E$9,5)</f>
        <v>2021621.8212</v>
      </c>
      <c r="E15" s="314"/>
      <c r="F15" s="443"/>
      <c r="G15" s="313"/>
      <c r="H15" s="313"/>
      <c r="I15" s="313"/>
      <c r="J15" s="310"/>
      <c r="K15" s="314"/>
      <c r="L15" s="315"/>
      <c r="M15" s="227"/>
      <c r="N15" s="220"/>
    </row>
    <row r="16" spans="2:14" s="13" customFormat="1" ht="16.5" customHeight="1">
      <c r="B16" s="68" t="s">
        <v>25</v>
      </c>
      <c r="C16" s="447">
        <v>931108.48709</v>
      </c>
      <c r="D16" s="447">
        <f>ROUND(+C16*$E$9,5)</f>
        <v>3464654.68046</v>
      </c>
      <c r="E16" s="314"/>
      <c r="F16" s="443"/>
      <c r="G16" s="313"/>
      <c r="H16" s="313"/>
      <c r="I16" s="313"/>
      <c r="J16" s="310"/>
      <c r="K16" s="314"/>
      <c r="L16" s="315"/>
      <c r="M16" s="227"/>
      <c r="N16" s="220"/>
    </row>
    <row r="17" spans="2:14" s="13" customFormat="1" ht="15" customHeight="1">
      <c r="B17" s="15"/>
      <c r="C17" s="449"/>
      <c r="D17" s="447"/>
      <c r="E17" s="310"/>
      <c r="F17" s="418"/>
      <c r="G17" s="313"/>
      <c r="H17" s="313"/>
      <c r="I17" s="313"/>
      <c r="J17" s="310"/>
      <c r="K17" s="314"/>
      <c r="L17" s="315"/>
      <c r="M17" s="227"/>
      <c r="N17" s="220"/>
    </row>
    <row r="18" spans="2:14" s="13" customFormat="1" ht="19.5" customHeight="1">
      <c r="B18" s="18" t="s">
        <v>20</v>
      </c>
      <c r="C18" s="448">
        <f>SUM(C19:C20)</f>
        <v>7091032.27754</v>
      </c>
      <c r="D18" s="446">
        <f>SUM(D19:D20)</f>
        <v>26385731.10473</v>
      </c>
      <c r="E18" s="310"/>
      <c r="F18" s="472"/>
      <c r="G18" s="313"/>
      <c r="H18" s="313"/>
      <c r="I18" s="313"/>
      <c r="J18" s="310"/>
      <c r="K18" s="310"/>
      <c r="L18" s="314"/>
      <c r="M18" s="220"/>
      <c r="N18" s="220"/>
    </row>
    <row r="19" spans="2:14" s="13" customFormat="1" ht="16.5" customHeight="1">
      <c r="B19" s="15" t="s">
        <v>109</v>
      </c>
      <c r="C19" s="447">
        <v>4011111.11108</v>
      </c>
      <c r="D19" s="447">
        <f>ROUND(+C19*$E$9,5)</f>
        <v>14925344.44433</v>
      </c>
      <c r="E19" s="310"/>
      <c r="F19" s="347"/>
      <c r="G19" s="313"/>
      <c r="H19" s="313"/>
      <c r="I19" s="313"/>
      <c r="J19" s="310"/>
      <c r="K19" s="314"/>
      <c r="L19" s="315"/>
      <c r="M19" s="227"/>
      <c r="N19" s="220"/>
    </row>
    <row r="20" spans="2:14" s="13" customFormat="1" ht="16.5" customHeight="1">
      <c r="B20" s="15" t="s">
        <v>25</v>
      </c>
      <c r="C20" s="447">
        <v>3079921.16646</v>
      </c>
      <c r="D20" s="447">
        <f>ROUND(+C20*$E$9,5)</f>
        <v>11460386.6604</v>
      </c>
      <c r="E20" s="310"/>
      <c r="F20" s="347"/>
      <c r="G20" s="313"/>
      <c r="H20" s="313"/>
      <c r="I20" s="313"/>
      <c r="J20" s="310"/>
      <c r="K20" s="314"/>
      <c r="L20" s="315"/>
      <c r="M20" s="227"/>
      <c r="N20" s="220"/>
    </row>
    <row r="21" spans="2:14" s="13" customFormat="1" ht="9.75" customHeight="1">
      <c r="B21" s="15"/>
      <c r="C21" s="449"/>
      <c r="D21" s="670"/>
      <c r="E21" s="310"/>
      <c r="F21" s="349"/>
      <c r="G21" s="313"/>
      <c r="H21" s="313"/>
      <c r="I21" s="313"/>
      <c r="J21" s="310"/>
      <c r="K21" s="314"/>
      <c r="L21" s="314"/>
      <c r="M21" s="220"/>
      <c r="N21" s="220"/>
    </row>
    <row r="22" spans="2:14" s="13" customFormat="1" ht="15" customHeight="1">
      <c r="B22" s="615" t="s">
        <v>60</v>
      </c>
      <c r="C22" s="611">
        <f>+C18+C14</f>
        <v>8565441.44219</v>
      </c>
      <c r="D22" s="611">
        <f>+D18+D14</f>
        <v>31872007.60639</v>
      </c>
      <c r="E22" s="310"/>
      <c r="F22" s="346"/>
      <c r="G22" s="313"/>
      <c r="H22" s="313"/>
      <c r="I22" s="313"/>
      <c r="J22" s="310"/>
      <c r="K22" s="310"/>
      <c r="L22" s="310"/>
      <c r="M22" s="220"/>
      <c r="N22" s="220"/>
    </row>
    <row r="23" spans="2:14" s="16" customFormat="1" ht="15" customHeight="1">
      <c r="B23" s="616"/>
      <c r="C23" s="612"/>
      <c r="D23" s="612"/>
      <c r="E23" s="310"/>
      <c r="F23" s="349"/>
      <c r="G23" s="313"/>
      <c r="H23" s="312"/>
      <c r="I23" s="312"/>
      <c r="J23" s="310"/>
      <c r="K23" s="310"/>
      <c r="L23" s="316"/>
      <c r="M23" s="228"/>
      <c r="N23" s="220"/>
    </row>
    <row r="24" spans="2:14" ht="14.25">
      <c r="B24" s="325"/>
      <c r="C24" s="510"/>
      <c r="D24" s="311"/>
      <c r="E24" s="310"/>
      <c r="F24" s="349"/>
      <c r="G24" s="313"/>
      <c r="H24" s="310"/>
      <c r="I24" s="310"/>
      <c r="J24" s="310"/>
      <c r="K24" s="317"/>
      <c r="L24" s="317"/>
      <c r="M24" s="220"/>
      <c r="N24" s="220"/>
    </row>
    <row r="25" spans="2:14" ht="14.25">
      <c r="B25" s="326"/>
      <c r="C25" s="510"/>
      <c r="D25" s="327"/>
      <c r="E25" s="318"/>
      <c r="F25" s="350"/>
      <c r="G25" s="313"/>
      <c r="H25" s="310"/>
      <c r="I25" s="310"/>
      <c r="J25" s="310"/>
      <c r="K25" s="310"/>
      <c r="L25" s="319"/>
      <c r="M25" s="220"/>
      <c r="N25" s="220"/>
    </row>
    <row r="26" spans="2:14" ht="14.25">
      <c r="B26" s="325"/>
      <c r="C26" s="201"/>
      <c r="D26" s="328"/>
      <c r="E26" s="310"/>
      <c r="F26" s="350"/>
      <c r="G26" s="313"/>
      <c r="H26" s="310"/>
      <c r="I26" s="310"/>
      <c r="J26" s="310"/>
      <c r="K26" s="318"/>
      <c r="L26" s="314"/>
      <c r="M26" s="226"/>
      <c r="N26" s="220"/>
    </row>
    <row r="27" spans="2:14" ht="14.25">
      <c r="B27" s="311"/>
      <c r="D27" s="329"/>
      <c r="E27" s="310"/>
      <c r="F27" s="350"/>
      <c r="G27" s="313"/>
      <c r="H27" s="310"/>
      <c r="I27" s="310"/>
      <c r="J27" s="310"/>
      <c r="K27" s="310"/>
      <c r="L27" s="314"/>
      <c r="M27" s="220"/>
      <c r="N27" s="220"/>
    </row>
    <row r="28" spans="2:14" ht="14.25">
      <c r="B28" s="311"/>
      <c r="C28" s="330"/>
      <c r="D28" s="330"/>
      <c r="E28" s="310"/>
      <c r="F28" s="349"/>
      <c r="G28" s="313"/>
      <c r="H28" s="310"/>
      <c r="I28" s="310"/>
      <c r="J28" s="310"/>
      <c r="K28" s="310"/>
      <c r="L28" s="320"/>
      <c r="M28" s="223"/>
      <c r="N28" s="220"/>
    </row>
    <row r="29" spans="2:14" s="1" customFormat="1" ht="18">
      <c r="B29" s="127" t="s">
        <v>114</v>
      </c>
      <c r="C29" s="127"/>
      <c r="D29" s="127"/>
      <c r="E29" s="310"/>
      <c r="F29" s="349"/>
      <c r="G29" s="313"/>
      <c r="H29" s="321"/>
      <c r="I29" s="321"/>
      <c r="J29" s="310"/>
      <c r="K29" s="310"/>
      <c r="L29" s="310"/>
      <c r="M29" s="220"/>
      <c r="N29" s="220"/>
    </row>
    <row r="30" spans="2:14" s="1" customFormat="1" ht="18">
      <c r="B30" s="309" t="s">
        <v>133</v>
      </c>
      <c r="C30" s="309"/>
      <c r="D30" s="309"/>
      <c r="E30" s="310"/>
      <c r="F30" s="349"/>
      <c r="G30" s="313"/>
      <c r="H30" s="321"/>
      <c r="I30" s="321"/>
      <c r="J30" s="310"/>
      <c r="K30" s="310"/>
      <c r="L30" s="314"/>
      <c r="M30" s="226"/>
      <c r="N30" s="220"/>
    </row>
    <row r="31" spans="2:14" s="1" customFormat="1" ht="18">
      <c r="B31" s="309" t="s">
        <v>134</v>
      </c>
      <c r="C31" s="309"/>
      <c r="D31" s="309"/>
      <c r="E31" s="310"/>
      <c r="F31" s="349"/>
      <c r="G31" s="313"/>
      <c r="H31" s="321"/>
      <c r="I31" s="321"/>
      <c r="J31" s="310"/>
      <c r="K31" s="310"/>
      <c r="L31" s="310"/>
      <c r="M31" s="220"/>
      <c r="N31" s="220"/>
    </row>
    <row r="32" spans="2:14" s="1" customFormat="1" ht="18">
      <c r="B32" s="181" t="s">
        <v>150</v>
      </c>
      <c r="C32" s="181"/>
      <c r="D32" s="181"/>
      <c r="E32" s="310"/>
      <c r="F32" s="349"/>
      <c r="G32" s="313"/>
      <c r="H32" s="310"/>
      <c r="I32" s="310"/>
      <c r="J32" s="310"/>
      <c r="K32" s="310"/>
      <c r="L32" s="310"/>
      <c r="M32" s="220"/>
      <c r="N32" s="220"/>
    </row>
    <row r="33" spans="2:14" s="3" customFormat="1" ht="15.75">
      <c r="B33" s="248" t="str">
        <f>+B9</f>
        <v>Al 31 de marzo de 2024</v>
      </c>
      <c r="C33" s="248"/>
      <c r="D33" s="134"/>
      <c r="E33" s="322"/>
      <c r="F33" s="349"/>
      <c r="G33" s="313"/>
      <c r="H33" s="323"/>
      <c r="I33" s="322"/>
      <c r="J33" s="322"/>
      <c r="K33" s="324"/>
      <c r="L33" s="324"/>
      <c r="M33" s="224"/>
      <c r="N33" s="224"/>
    </row>
    <row r="34" spans="2:14" s="3" customFormat="1" ht="9.75" customHeight="1">
      <c r="B34" s="14"/>
      <c r="C34" s="248"/>
      <c r="D34" s="12"/>
      <c r="E34" s="322"/>
      <c r="F34" s="349"/>
      <c r="G34" s="313"/>
      <c r="H34" s="322"/>
      <c r="I34" s="322"/>
      <c r="J34" s="322"/>
      <c r="K34" s="324"/>
      <c r="L34" s="324"/>
      <c r="M34" s="224"/>
      <c r="N34" s="224"/>
    </row>
    <row r="35" spans="2:12" ht="18.75" customHeight="1">
      <c r="B35" s="613" t="s">
        <v>153</v>
      </c>
      <c r="C35" s="609" t="s">
        <v>85</v>
      </c>
      <c r="D35" s="609" t="s">
        <v>161</v>
      </c>
      <c r="E35" s="310"/>
      <c r="F35" s="349"/>
      <c r="G35" s="313"/>
      <c r="H35" s="310"/>
      <c r="I35" s="310"/>
      <c r="J35" s="310"/>
      <c r="K35" s="311"/>
      <c r="L35" s="311"/>
    </row>
    <row r="36" spans="2:14" s="16" customFormat="1" ht="18.75" customHeight="1">
      <c r="B36" s="614"/>
      <c r="C36" s="610"/>
      <c r="D36" s="610"/>
      <c r="E36" s="310"/>
      <c r="F36" s="349"/>
      <c r="G36" s="313"/>
      <c r="H36" s="310"/>
      <c r="I36" s="310"/>
      <c r="J36" s="310"/>
      <c r="K36" s="312"/>
      <c r="L36" s="312"/>
      <c r="M36" s="225"/>
      <c r="N36" s="225"/>
    </row>
    <row r="37" spans="2:14" s="16" customFormat="1" ht="9.75" customHeight="1">
      <c r="B37" s="17"/>
      <c r="C37" s="252"/>
      <c r="D37" s="19"/>
      <c r="E37" s="310"/>
      <c r="F37" s="349"/>
      <c r="G37" s="313"/>
      <c r="H37" s="310"/>
      <c r="I37" s="310"/>
      <c r="J37" s="310"/>
      <c r="K37" s="312"/>
      <c r="L37" s="312"/>
      <c r="M37" s="225"/>
      <c r="N37" s="225"/>
    </row>
    <row r="38" spans="2:14" s="13" customFormat="1" ht="19.5" customHeight="1">
      <c r="B38" s="18" t="s">
        <v>144</v>
      </c>
      <c r="C38" s="448">
        <f>SUM(C39:C40)</f>
        <v>411604.76856</v>
      </c>
      <c r="D38" s="446">
        <f>SUM(D39:D40)</f>
        <v>1531581.3438117602</v>
      </c>
      <c r="E38" s="310"/>
      <c r="F38" s="346"/>
      <c r="G38" s="313"/>
      <c r="H38" s="310"/>
      <c r="I38" s="310"/>
      <c r="J38" s="310"/>
      <c r="K38" s="313"/>
      <c r="L38" s="313"/>
      <c r="M38" s="222"/>
      <c r="N38" s="222"/>
    </row>
    <row r="39" spans="2:14" s="13" customFormat="1" ht="16.5" customHeight="1">
      <c r="B39" s="15" t="s">
        <v>24</v>
      </c>
      <c r="C39" s="449">
        <v>308137.95856</v>
      </c>
      <c r="D39" s="447">
        <f>+C39*$E$9</f>
        <v>1146581.34380176</v>
      </c>
      <c r="E39" s="310"/>
      <c r="F39" s="348"/>
      <c r="G39" s="313"/>
      <c r="H39" s="310"/>
      <c r="I39" s="310"/>
      <c r="J39" s="310"/>
      <c r="K39" s="313"/>
      <c r="L39" s="313"/>
      <c r="M39" s="222"/>
      <c r="N39" s="222"/>
    </row>
    <row r="40" spans="2:14" s="13" customFormat="1" ht="16.5" customHeight="1">
      <c r="B40" s="15" t="s">
        <v>25</v>
      </c>
      <c r="C40" s="449">
        <v>103466.81</v>
      </c>
      <c r="D40" s="447">
        <f>+C40*$E$9</f>
        <v>385000.00001</v>
      </c>
      <c r="E40" s="310"/>
      <c r="F40" s="348"/>
      <c r="G40" s="313"/>
      <c r="H40" s="310"/>
      <c r="I40" s="310"/>
      <c r="J40" s="310"/>
      <c r="K40" s="313"/>
      <c r="L40" s="313"/>
      <c r="M40" s="222"/>
      <c r="N40" s="222"/>
    </row>
    <row r="41" spans="2:14" s="13" customFormat="1" ht="15" customHeight="1">
      <c r="B41" s="15"/>
      <c r="C41" s="449"/>
      <c r="D41" s="447"/>
      <c r="E41" s="310"/>
      <c r="F41" s="349"/>
      <c r="G41" s="313"/>
      <c r="H41" s="310"/>
      <c r="I41" s="310"/>
      <c r="J41" s="310"/>
      <c r="K41" s="313"/>
      <c r="L41" s="313"/>
      <c r="M41" s="222"/>
      <c r="N41" s="222"/>
    </row>
    <row r="42" spans="2:14" s="13" customFormat="1" ht="19.5" customHeight="1">
      <c r="B42" s="18" t="s">
        <v>145</v>
      </c>
      <c r="C42" s="448">
        <f>SUM(C43:C44)</f>
        <v>543201.74553</v>
      </c>
      <c r="D42" s="446">
        <f>SUM(D43:D44)</f>
        <v>2021253.69511713</v>
      </c>
      <c r="E42" s="310"/>
      <c r="F42" s="346"/>
      <c r="G42" s="313"/>
      <c r="H42" s="310"/>
      <c r="I42" s="310"/>
      <c r="J42" s="310"/>
      <c r="K42" s="313"/>
      <c r="L42" s="313"/>
      <c r="M42" s="222"/>
      <c r="N42" s="222"/>
    </row>
    <row r="43" spans="2:14" s="13" customFormat="1" ht="16.5" customHeight="1">
      <c r="B43" s="15" t="s">
        <v>24</v>
      </c>
      <c r="C43" s="449">
        <v>543201.74553</v>
      </c>
      <c r="D43" s="447">
        <f>+C43*$E$9</f>
        <v>2021253.69511713</v>
      </c>
      <c r="E43" s="310"/>
      <c r="G43" s="313"/>
      <c r="H43" s="310"/>
      <c r="I43" s="310"/>
      <c r="J43" s="310"/>
      <c r="K43" s="313"/>
      <c r="L43" s="313"/>
      <c r="M43" s="222"/>
      <c r="N43" s="222"/>
    </row>
    <row r="44" spans="2:14" s="13" customFormat="1" ht="16.5" customHeight="1">
      <c r="B44" s="15" t="s">
        <v>25</v>
      </c>
      <c r="C44" s="449">
        <v>0</v>
      </c>
      <c r="D44" s="447">
        <f>+C44*$E$9</f>
        <v>0</v>
      </c>
      <c r="E44" s="310"/>
      <c r="F44" s="348"/>
      <c r="G44" s="313"/>
      <c r="H44" s="310"/>
      <c r="I44" s="310"/>
      <c r="J44" s="310"/>
      <c r="K44" s="313"/>
      <c r="L44" s="313"/>
      <c r="M44" s="222"/>
      <c r="N44" s="222"/>
    </row>
    <row r="45" spans="2:14" s="13" customFormat="1" ht="7.5" customHeight="1">
      <c r="B45" s="15"/>
      <c r="C45" s="449"/>
      <c r="D45" s="447"/>
      <c r="E45" s="310"/>
      <c r="F45" s="313"/>
      <c r="G45" s="313"/>
      <c r="H45" s="310"/>
      <c r="I45" s="310"/>
      <c r="J45" s="310"/>
      <c r="K45" s="313"/>
      <c r="L45" s="313"/>
      <c r="M45" s="222"/>
      <c r="N45" s="222"/>
    </row>
    <row r="46" spans="2:14" s="13" customFormat="1" ht="15" customHeight="1">
      <c r="B46" s="615" t="s">
        <v>60</v>
      </c>
      <c r="C46" s="611">
        <f>+C42+C38</f>
        <v>954806.51409</v>
      </c>
      <c r="D46" s="611">
        <f>+D42+D38</f>
        <v>3552835.03892889</v>
      </c>
      <c r="E46" s="310"/>
      <c r="F46" s="313"/>
      <c r="G46" s="313"/>
      <c r="H46" s="310"/>
      <c r="I46" s="310"/>
      <c r="J46" s="310"/>
      <c r="K46" s="313"/>
      <c r="L46" s="313"/>
      <c r="M46" s="222"/>
      <c r="N46" s="222"/>
    </row>
    <row r="47" spans="2:14" s="16" customFormat="1" ht="15" customHeight="1">
      <c r="B47" s="616"/>
      <c r="C47" s="612"/>
      <c r="D47" s="612"/>
      <c r="E47" s="310"/>
      <c r="F47" s="339"/>
      <c r="G47" s="313"/>
      <c r="H47" s="310"/>
      <c r="I47" s="310"/>
      <c r="J47" s="310"/>
      <c r="K47" s="312"/>
      <c r="L47" s="312"/>
      <c r="M47" s="225"/>
      <c r="N47" s="225"/>
    </row>
    <row r="48" spans="2:12" ht="16.5" customHeight="1">
      <c r="B48" s="28" t="s">
        <v>136</v>
      </c>
      <c r="C48" s="189"/>
      <c r="D48" s="201"/>
      <c r="E48" s="310"/>
      <c r="F48" s="313"/>
      <c r="G48" s="313"/>
      <c r="H48" s="310"/>
      <c r="I48" s="310"/>
      <c r="J48" s="310"/>
      <c r="K48" s="311"/>
      <c r="L48" s="311"/>
    </row>
    <row r="49" spans="2:12" ht="12.75">
      <c r="B49" s="2" t="s">
        <v>137</v>
      </c>
      <c r="C49" s="486"/>
      <c r="D49" s="201"/>
      <c r="E49" s="310"/>
      <c r="F49" s="310"/>
      <c r="G49" s="310"/>
      <c r="H49" s="310"/>
      <c r="I49" s="310"/>
      <c r="J49" s="310"/>
      <c r="K49" s="311"/>
      <c r="L49" s="311"/>
    </row>
    <row r="50" spans="2:12" ht="12.75">
      <c r="B50" s="311"/>
      <c r="C50" s="486"/>
      <c r="D50" s="331"/>
      <c r="E50" s="310"/>
      <c r="F50" s="310"/>
      <c r="G50" s="310"/>
      <c r="H50" s="310"/>
      <c r="I50" s="310"/>
      <c r="J50" s="310"/>
      <c r="K50" s="311"/>
      <c r="L50" s="311"/>
    </row>
    <row r="51" spans="2:12" ht="12.75">
      <c r="B51" s="311"/>
      <c r="C51" s="331"/>
      <c r="D51" s="421"/>
      <c r="E51" s="310"/>
      <c r="F51" s="310"/>
      <c r="G51" s="310"/>
      <c r="H51" s="310"/>
      <c r="I51" s="310"/>
      <c r="J51" s="310"/>
      <c r="K51" s="311"/>
      <c r="L51" s="311"/>
    </row>
    <row r="52" spans="2:4" ht="12.75">
      <c r="B52" s="311"/>
      <c r="C52" s="475"/>
      <c r="D52" s="311"/>
    </row>
    <row r="53" spans="2:4" ht="12.75">
      <c r="B53" s="311"/>
      <c r="C53" s="331"/>
      <c r="D53" s="331"/>
    </row>
    <row r="54" spans="2:4" ht="12.75">
      <c r="B54" s="311"/>
      <c r="C54" s="331"/>
      <c r="D54" s="331"/>
    </row>
    <row r="55" spans="2:4" ht="12.75">
      <c r="B55" s="311"/>
      <c r="C55" s="331"/>
      <c r="D55" s="331"/>
    </row>
    <row r="56" spans="2:4" ht="12.75">
      <c r="B56" s="311"/>
      <c r="C56" s="418"/>
      <c r="D56" s="418"/>
    </row>
    <row r="57" spans="2:4" ht="12.75">
      <c r="B57" s="311"/>
      <c r="C57" s="331"/>
      <c r="D57" s="331"/>
    </row>
    <row r="58" spans="2:4" ht="12.75">
      <c r="B58" s="311"/>
      <c r="C58" s="331"/>
      <c r="D58" s="331"/>
    </row>
    <row r="59" spans="2:4" ht="12.75">
      <c r="B59" s="311"/>
      <c r="C59" s="331"/>
      <c r="D59" s="311"/>
    </row>
    <row r="60" spans="2:4" ht="12.75">
      <c r="B60" s="311"/>
      <c r="C60" s="332"/>
      <c r="D60" s="311"/>
    </row>
  </sheetData>
  <sheetProtection/>
  <mergeCells count="15">
    <mergeCell ref="B46:B47"/>
    <mergeCell ref="C46:C47"/>
    <mergeCell ref="D46:D47"/>
    <mergeCell ref="B35:B36"/>
    <mergeCell ref="C35:C36"/>
    <mergeCell ref="D35:D36"/>
    <mergeCell ref="D11:D12"/>
    <mergeCell ref="D22:D23"/>
    <mergeCell ref="B11:B12"/>
    <mergeCell ref="B22:B23"/>
    <mergeCell ref="C22:C23"/>
    <mergeCell ref="B2:D2"/>
    <mergeCell ref="B3:D3"/>
    <mergeCell ref="B4:D4"/>
    <mergeCell ref="C11:C12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5" customWidth="1"/>
    <col min="2" max="2" width="56.28125" style="85" customWidth="1"/>
    <col min="3" max="4" width="19.7109375" style="85" customWidth="1"/>
    <col min="5" max="5" width="14.8515625" style="85" bestFit="1" customWidth="1"/>
    <col min="6" max="6" width="15.7109375" style="85" customWidth="1"/>
    <col min="7" max="12" width="11.421875" style="85" customWidth="1"/>
    <col min="13" max="13" width="11.421875" style="130" customWidth="1"/>
    <col min="14" max="16384" width="11.421875" style="85" customWidth="1"/>
  </cols>
  <sheetData>
    <row r="1" ht="12.75">
      <c r="B1" s="101"/>
    </row>
    <row r="2" ht="12.75">
      <c r="B2" s="101"/>
    </row>
    <row r="3" ht="12.75">
      <c r="B3" s="101"/>
    </row>
    <row r="4" ht="12" customHeight="1">
      <c r="B4" s="101"/>
    </row>
    <row r="5" spans="2:13" s="133" customFormat="1" ht="18">
      <c r="B5" s="127" t="s">
        <v>13</v>
      </c>
      <c r="C5" s="127"/>
      <c r="D5" s="127"/>
      <c r="M5" s="187"/>
    </row>
    <row r="6" spans="2:13" s="133" customFormat="1" ht="18">
      <c r="B6" s="309" t="s">
        <v>133</v>
      </c>
      <c r="C6" s="309"/>
      <c r="D6" s="309"/>
      <c r="M6" s="187"/>
    </row>
    <row r="7" spans="2:13" s="133" customFormat="1" ht="18">
      <c r="B7" s="309" t="s">
        <v>132</v>
      </c>
      <c r="C7" s="309"/>
      <c r="D7" s="309"/>
      <c r="M7" s="187"/>
    </row>
    <row r="8" spans="2:13" s="133" customFormat="1" ht="18">
      <c r="B8" s="333" t="s">
        <v>37</v>
      </c>
      <c r="C8" s="181"/>
      <c r="D8" s="181"/>
      <c r="M8" s="187"/>
    </row>
    <row r="9" spans="2:13" s="133" customFormat="1" ht="18">
      <c r="B9" s="621" t="str">
        <f>+'DEP-C2'!B9</f>
        <v>Al 31 de marzo de 2024</v>
      </c>
      <c r="C9" s="621"/>
      <c r="D9" s="258"/>
      <c r="E9" s="308">
        <f>+Portada!H39</f>
        <v>3.721</v>
      </c>
      <c r="M9" s="187"/>
    </row>
    <row r="10" spans="2:13" s="65" customFormat="1" ht="9.75" customHeight="1">
      <c r="B10" s="624"/>
      <c r="C10" s="624"/>
      <c r="D10" s="624"/>
      <c r="E10" s="274"/>
      <c r="M10" s="162"/>
    </row>
    <row r="11" spans="2:4" ht="16.5" customHeight="1">
      <c r="B11" s="625" t="s">
        <v>92</v>
      </c>
      <c r="C11" s="619" t="s">
        <v>85</v>
      </c>
      <c r="D11" s="609" t="s">
        <v>161</v>
      </c>
    </row>
    <row r="12" spans="2:13" s="80" customFormat="1" ht="16.5" customHeight="1">
      <c r="B12" s="626"/>
      <c r="C12" s="620"/>
      <c r="D12" s="610"/>
      <c r="M12" s="163"/>
    </row>
    <row r="13" spans="2:13" s="80" customFormat="1" ht="9.75" customHeight="1">
      <c r="B13" s="64"/>
      <c r="C13" s="158"/>
      <c r="D13" s="159"/>
      <c r="M13" s="163"/>
    </row>
    <row r="14" spans="2:13" s="80" customFormat="1" ht="16.5">
      <c r="B14" s="160" t="s">
        <v>63</v>
      </c>
      <c r="C14" s="450">
        <f>SUM(C15:C16)</f>
        <v>1431156.89399</v>
      </c>
      <c r="D14" s="450">
        <f>SUM(D15:D16)</f>
        <v>5325334.80253</v>
      </c>
      <c r="M14" s="163"/>
    </row>
    <row r="15" spans="2:13" s="80" customFormat="1" ht="16.5">
      <c r="B15" s="79" t="s">
        <v>24</v>
      </c>
      <c r="C15" s="451">
        <v>217695.70823</v>
      </c>
      <c r="D15" s="376">
        <f>ROUND(+C15*$E$9,5)</f>
        <v>810045.73032</v>
      </c>
      <c r="E15" s="275"/>
      <c r="F15" s="418"/>
      <c r="G15" s="276"/>
      <c r="M15" s="163"/>
    </row>
    <row r="16" spans="2:13" s="80" customFormat="1" ht="16.5">
      <c r="B16" s="79" t="s">
        <v>25</v>
      </c>
      <c r="C16" s="451">
        <v>1213461.18576</v>
      </c>
      <c r="D16" s="376">
        <f>ROUND(+C16*$E$9,5)</f>
        <v>4515289.07221</v>
      </c>
      <c r="E16" s="275"/>
      <c r="F16" s="418"/>
      <c r="G16" s="276"/>
      <c r="M16" s="163"/>
    </row>
    <row r="17" spans="2:13" s="80" customFormat="1" ht="15" customHeight="1">
      <c r="B17" s="64"/>
      <c r="C17" s="452"/>
      <c r="D17" s="369"/>
      <c r="M17" s="163"/>
    </row>
    <row r="18" spans="2:13" s="80" customFormat="1" ht="16.5">
      <c r="B18" s="160" t="s">
        <v>62</v>
      </c>
      <c r="C18" s="450">
        <f>SUM(C19:C20)</f>
        <v>7134284.548200001</v>
      </c>
      <c r="D18" s="450">
        <f>SUM(D19:D20)</f>
        <v>26546672.80386</v>
      </c>
      <c r="E18" s="275"/>
      <c r="M18" s="163"/>
    </row>
    <row r="19" spans="2:13" s="80" customFormat="1" ht="16.5">
      <c r="B19" s="79" t="s">
        <v>24</v>
      </c>
      <c r="C19" s="451">
        <f>+C23+C27+C31</f>
        <v>4336716.080410001</v>
      </c>
      <c r="D19" s="451">
        <f>+D23+D27+D31</f>
        <v>16136920.53521</v>
      </c>
      <c r="M19" s="163"/>
    </row>
    <row r="20" spans="2:13" s="80" customFormat="1" ht="16.5">
      <c r="B20" s="79" t="s">
        <v>25</v>
      </c>
      <c r="C20" s="451">
        <f>+C24+C28+C32</f>
        <v>2797568.46779</v>
      </c>
      <c r="D20" s="451">
        <f>+D24+D28+D32</f>
        <v>10409752.268649999</v>
      </c>
      <c r="M20" s="163"/>
    </row>
    <row r="21" spans="2:13" s="80" customFormat="1" ht="9.75" customHeight="1">
      <c r="B21" s="81"/>
      <c r="C21" s="451"/>
      <c r="D21" s="376"/>
      <c r="M21" s="163"/>
    </row>
    <row r="22" spans="2:13" s="80" customFormat="1" ht="16.5">
      <c r="B22" s="335" t="s">
        <v>172</v>
      </c>
      <c r="C22" s="453">
        <f>SUM(C23:C24)</f>
        <v>6698889.400880001</v>
      </c>
      <c r="D22" s="453">
        <f>SUM(D23:D24)</f>
        <v>24926567.46068</v>
      </c>
      <c r="G22" s="275"/>
      <c r="I22" s="277"/>
      <c r="M22" s="163"/>
    </row>
    <row r="23" spans="2:13" s="80" customFormat="1" ht="16.5">
      <c r="B23" s="336" t="s">
        <v>24</v>
      </c>
      <c r="C23" s="452">
        <v>4277456.38807</v>
      </c>
      <c r="D23" s="369">
        <f>ROUND(+C23*$E$9,5)</f>
        <v>15916415.22001</v>
      </c>
      <c r="G23" s="275"/>
      <c r="I23" s="277"/>
      <c r="M23" s="163"/>
    </row>
    <row r="24" spans="2:13" s="80" customFormat="1" ht="16.5">
      <c r="B24" s="336" t="s">
        <v>25</v>
      </c>
      <c r="C24" s="452">
        <v>2421433.01281</v>
      </c>
      <c r="D24" s="369">
        <f>ROUND(+C24*$E$9,5)</f>
        <v>9010152.24067</v>
      </c>
      <c r="G24" s="275"/>
      <c r="I24" s="277"/>
      <c r="M24" s="163"/>
    </row>
    <row r="25" spans="2:13" s="80" customFormat="1" ht="9.75" customHeight="1">
      <c r="B25" s="81"/>
      <c r="C25" s="451"/>
      <c r="D25" s="376"/>
      <c r="M25" s="163"/>
    </row>
    <row r="26" spans="2:13" s="80" customFormat="1" ht="16.5">
      <c r="B26" s="335" t="s">
        <v>173</v>
      </c>
      <c r="C26" s="453">
        <f>SUM(C27:C28)</f>
        <v>57785.181619999996</v>
      </c>
      <c r="D26" s="453">
        <f>SUM(D27:D28)</f>
        <v>215018.66081</v>
      </c>
      <c r="G26" s="278"/>
      <c r="M26" s="163"/>
    </row>
    <row r="27" spans="2:13" s="80" customFormat="1" ht="16.5">
      <c r="B27" s="336" t="s">
        <v>24</v>
      </c>
      <c r="C27" s="452">
        <v>53024.37136</v>
      </c>
      <c r="D27" s="369">
        <f>ROUND(+C27*$E$9,5)</f>
        <v>197303.68583</v>
      </c>
      <c r="M27" s="163"/>
    </row>
    <row r="28" spans="2:13" s="80" customFormat="1" ht="16.5">
      <c r="B28" s="336" t="s">
        <v>25</v>
      </c>
      <c r="C28" s="452">
        <v>4760.81026</v>
      </c>
      <c r="D28" s="369">
        <f>ROUND(+C28*$E$9,5)</f>
        <v>17714.97498</v>
      </c>
      <c r="M28" s="163"/>
    </row>
    <row r="29" spans="2:13" s="80" customFormat="1" ht="9.75" customHeight="1">
      <c r="B29" s="81"/>
      <c r="C29" s="369"/>
      <c r="D29" s="376"/>
      <c r="M29" s="163"/>
    </row>
    <row r="30" spans="2:13" s="80" customFormat="1" ht="16.5">
      <c r="B30" s="337" t="s">
        <v>174</v>
      </c>
      <c r="C30" s="453">
        <f>+SUM(C31:C32)</f>
        <v>377609.9657</v>
      </c>
      <c r="D30" s="453">
        <f>+SUM(D31:D32)</f>
        <v>1405086.68237</v>
      </c>
      <c r="M30" s="163"/>
    </row>
    <row r="31" spans="2:13" s="80" customFormat="1" ht="16.5">
      <c r="B31" s="336" t="s">
        <v>24</v>
      </c>
      <c r="C31" s="452">
        <v>6235.32098</v>
      </c>
      <c r="D31" s="369">
        <f>ROUND(+C31*$E$9,5)</f>
        <v>23201.62937</v>
      </c>
      <c r="M31" s="163"/>
    </row>
    <row r="32" spans="2:13" s="80" customFormat="1" ht="16.5">
      <c r="B32" s="336" t="s">
        <v>25</v>
      </c>
      <c r="C32" s="452">
        <v>371374.64472</v>
      </c>
      <c r="D32" s="369">
        <f>ROUND(+C32*$E$9,5)</f>
        <v>1381885.053</v>
      </c>
      <c r="M32" s="163"/>
    </row>
    <row r="33" spans="2:13" s="80" customFormat="1" ht="9.75" customHeight="1">
      <c r="B33" s="190"/>
      <c r="C33" s="452"/>
      <c r="D33" s="369"/>
      <c r="M33" s="163"/>
    </row>
    <row r="34" spans="2:13" s="80" customFormat="1" ht="15" customHeight="1">
      <c r="B34" s="622" t="s">
        <v>60</v>
      </c>
      <c r="C34" s="617">
        <f>+C18+C14</f>
        <v>8565441.44219</v>
      </c>
      <c r="D34" s="617">
        <f>+D18+D14</f>
        <v>31872007.60639</v>
      </c>
      <c r="M34" s="163"/>
    </row>
    <row r="35" spans="2:13" s="80" customFormat="1" ht="15" customHeight="1">
      <c r="B35" s="623"/>
      <c r="C35" s="618"/>
      <c r="D35" s="618"/>
      <c r="M35" s="163"/>
    </row>
    <row r="36" spans="3:6" ht="16.5">
      <c r="C36" s="189"/>
      <c r="F36" s="80"/>
    </row>
    <row r="37" spans="3:6" ht="16.5">
      <c r="C37" s="189"/>
      <c r="D37" s="100"/>
      <c r="F37" s="80"/>
    </row>
    <row r="38" spans="3:6" ht="16.5">
      <c r="C38" s="189"/>
      <c r="D38" s="189"/>
      <c r="F38" s="80"/>
    </row>
    <row r="40" spans="2:13" s="133" customFormat="1" ht="18">
      <c r="B40" s="127" t="s">
        <v>115</v>
      </c>
      <c r="C40" s="127"/>
      <c r="D40" s="127"/>
      <c r="M40" s="187"/>
    </row>
    <row r="41" spans="2:13" s="133" customFormat="1" ht="18">
      <c r="B41" s="309" t="s">
        <v>133</v>
      </c>
      <c r="C41" s="309"/>
      <c r="D41" s="309"/>
      <c r="M41" s="187"/>
    </row>
    <row r="42" spans="2:13" s="133" customFormat="1" ht="18">
      <c r="B42" s="309" t="s">
        <v>134</v>
      </c>
      <c r="C42" s="309"/>
      <c r="D42" s="309"/>
      <c r="M42" s="187"/>
    </row>
    <row r="43" spans="2:13" s="133" customFormat="1" ht="18">
      <c r="B43" s="333" t="s">
        <v>37</v>
      </c>
      <c r="C43" s="181"/>
      <c r="D43" s="181"/>
      <c r="M43" s="187"/>
    </row>
    <row r="44" spans="2:13" s="133" customFormat="1" ht="18">
      <c r="B44" s="621" t="str">
        <f>+B9</f>
        <v>Al 31 de marzo de 2024</v>
      </c>
      <c r="C44" s="621"/>
      <c r="D44" s="246"/>
      <c r="M44" s="187"/>
    </row>
    <row r="45" spans="2:13" s="65" customFormat="1" ht="9.75" customHeight="1">
      <c r="B45" s="624"/>
      <c r="C45" s="624"/>
      <c r="D45" s="624"/>
      <c r="M45" s="162"/>
    </row>
    <row r="46" spans="2:4" ht="16.5" customHeight="1">
      <c r="B46" s="625" t="s">
        <v>92</v>
      </c>
      <c r="C46" s="619" t="s">
        <v>85</v>
      </c>
      <c r="D46" s="609" t="s">
        <v>161</v>
      </c>
    </row>
    <row r="47" spans="2:13" s="80" customFormat="1" ht="16.5" customHeight="1">
      <c r="B47" s="626"/>
      <c r="C47" s="620"/>
      <c r="D47" s="610"/>
      <c r="M47" s="163"/>
    </row>
    <row r="48" spans="2:13" s="80" customFormat="1" ht="9.75" customHeight="1">
      <c r="B48" s="64"/>
      <c r="C48" s="158"/>
      <c r="D48" s="191"/>
      <c r="M48" s="163"/>
    </row>
    <row r="49" spans="2:13" s="80" customFormat="1" ht="16.5">
      <c r="B49" s="160" t="s">
        <v>63</v>
      </c>
      <c r="C49" s="450">
        <f>SUM(C50:C51)</f>
        <v>411604.76856</v>
      </c>
      <c r="D49" s="370">
        <f>SUM(D50:D51)</f>
        <v>1531581.34381</v>
      </c>
      <c r="F49" s="339"/>
      <c r="M49" s="163"/>
    </row>
    <row r="50" spans="2:13" s="80" customFormat="1" ht="16.5">
      <c r="B50" s="79" t="s">
        <v>24</v>
      </c>
      <c r="C50" s="451">
        <v>308137.95856</v>
      </c>
      <c r="D50" s="376">
        <f>ROUND(+C50*$E$9,5)</f>
        <v>1146581.3438</v>
      </c>
      <c r="F50" s="338"/>
      <c r="M50" s="163"/>
    </row>
    <row r="51" spans="2:13" s="80" customFormat="1" ht="16.5" customHeight="1">
      <c r="B51" s="79" t="s">
        <v>25</v>
      </c>
      <c r="C51" s="451">
        <v>103466.81</v>
      </c>
      <c r="D51" s="376">
        <f>+C51*$E$9</f>
        <v>385000.00001</v>
      </c>
      <c r="M51" s="163"/>
    </row>
    <row r="52" spans="2:13" s="80" customFormat="1" ht="15" customHeight="1">
      <c r="B52" s="64"/>
      <c r="C52" s="452"/>
      <c r="D52" s="369"/>
      <c r="M52" s="163"/>
    </row>
    <row r="53" spans="2:13" s="80" customFormat="1" ht="16.5">
      <c r="B53" s="160" t="s">
        <v>62</v>
      </c>
      <c r="C53" s="450">
        <f>SUM(C54:C55)</f>
        <v>543201.74553</v>
      </c>
      <c r="D53" s="450">
        <f>SUM(D54:D55)</f>
        <v>2021253.69512</v>
      </c>
      <c r="F53" s="339"/>
      <c r="M53" s="163"/>
    </row>
    <row r="54" spans="2:13" s="80" customFormat="1" ht="16.5">
      <c r="B54" s="79" t="s">
        <v>24</v>
      </c>
      <c r="C54" s="451">
        <f>+C58</f>
        <v>543201.74553</v>
      </c>
      <c r="D54" s="376">
        <f>+D58</f>
        <v>2021253.69512</v>
      </c>
      <c r="F54" s="339"/>
      <c r="M54" s="163"/>
    </row>
    <row r="55" spans="2:13" s="80" customFormat="1" ht="16.5">
      <c r="B55" s="79" t="s">
        <v>25</v>
      </c>
      <c r="C55" s="451">
        <f>+C59</f>
        <v>0</v>
      </c>
      <c r="D55" s="376">
        <f>+D59</f>
        <v>0</v>
      </c>
      <c r="F55" s="339"/>
      <c r="M55" s="163"/>
    </row>
    <row r="56" spans="2:13" s="80" customFormat="1" ht="9.75" customHeight="1">
      <c r="B56" s="81"/>
      <c r="C56" s="451"/>
      <c r="D56" s="376"/>
      <c r="M56" s="163"/>
    </row>
    <row r="57" spans="2:13" s="80" customFormat="1" ht="16.5">
      <c r="B57" s="335" t="s">
        <v>172</v>
      </c>
      <c r="C57" s="453">
        <f>SUM(C58:C59)</f>
        <v>543201.74553</v>
      </c>
      <c r="D57" s="453">
        <f>SUM(D58:D59)</f>
        <v>2021253.69512</v>
      </c>
      <c r="F57" s="339"/>
      <c r="M57" s="163"/>
    </row>
    <row r="58" spans="2:13" s="80" customFormat="1" ht="16.5" customHeight="1">
      <c r="B58" s="336" t="s">
        <v>24</v>
      </c>
      <c r="C58" s="452">
        <v>543201.74553</v>
      </c>
      <c r="D58" s="369">
        <f>ROUND(+C58*$E$9,5)</f>
        <v>2021253.69512</v>
      </c>
      <c r="F58" s="338"/>
      <c r="M58" s="163"/>
    </row>
    <row r="59" spans="2:13" s="80" customFormat="1" ht="16.5" customHeight="1">
      <c r="B59" s="336" t="s">
        <v>25</v>
      </c>
      <c r="C59" s="452">
        <v>0</v>
      </c>
      <c r="D59" s="369">
        <f>ROUND(+C59*$E$9,5)</f>
        <v>0</v>
      </c>
      <c r="F59" s="338"/>
      <c r="M59" s="163"/>
    </row>
    <row r="60" spans="2:13" s="80" customFormat="1" ht="9.75" customHeight="1">
      <c r="B60" s="190"/>
      <c r="C60" s="452"/>
      <c r="D60" s="369"/>
      <c r="M60" s="163"/>
    </row>
    <row r="61" spans="2:13" s="80" customFormat="1" ht="15" customHeight="1">
      <c r="B61" s="622" t="s">
        <v>60</v>
      </c>
      <c r="C61" s="617">
        <f>+C53+C49</f>
        <v>954806.51409</v>
      </c>
      <c r="D61" s="617">
        <f>+D53+D49</f>
        <v>3552835.03893</v>
      </c>
      <c r="M61" s="163"/>
    </row>
    <row r="62" spans="2:13" s="80" customFormat="1" ht="15" customHeight="1">
      <c r="B62" s="623"/>
      <c r="C62" s="618"/>
      <c r="D62" s="618"/>
      <c r="F62" s="339"/>
      <c r="M62" s="163"/>
    </row>
    <row r="63" ht="12.75">
      <c r="C63" s="486"/>
    </row>
    <row r="64" spans="3:6" ht="12.75">
      <c r="C64" s="189"/>
      <c r="D64" s="129"/>
      <c r="F64" s="340"/>
    </row>
    <row r="65" ht="12.75">
      <c r="C65" s="189"/>
    </row>
  </sheetData>
  <sheetProtection/>
  <mergeCells count="16">
    <mergeCell ref="B9:C9"/>
    <mergeCell ref="B10:D10"/>
    <mergeCell ref="B61:B62"/>
    <mergeCell ref="C61:C62"/>
    <mergeCell ref="D61:D62"/>
    <mergeCell ref="B45:D45"/>
    <mergeCell ref="B46:B47"/>
    <mergeCell ref="B11:B12"/>
    <mergeCell ref="C11:C12"/>
    <mergeCell ref="D11:D12"/>
    <mergeCell ref="C34:C35"/>
    <mergeCell ref="C46:C47"/>
    <mergeCell ref="D46:D47"/>
    <mergeCell ref="B44:C44"/>
    <mergeCell ref="D34:D35"/>
    <mergeCell ref="B34:B35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5" customWidth="1"/>
    <col min="2" max="2" width="73.57421875" style="85" customWidth="1"/>
    <col min="3" max="4" width="19.7109375" style="85" customWidth="1"/>
    <col min="5" max="5" width="20.57421875" style="85" bestFit="1" customWidth="1"/>
    <col min="6" max="6" width="19.28125" style="85" customWidth="1"/>
    <col min="7" max="7" width="16.28125" style="85" bestFit="1" customWidth="1"/>
    <col min="8" max="8" width="16.421875" style="85" customWidth="1"/>
    <col min="9" max="9" width="17.00390625" style="85" customWidth="1"/>
    <col min="10" max="16384" width="11.421875" style="85" customWidth="1"/>
  </cols>
  <sheetData>
    <row r="1" spans="2:5" ht="14.25">
      <c r="B1" s="101"/>
      <c r="E1" s="107"/>
    </row>
    <row r="2" ht="12.75">
      <c r="B2" s="101"/>
    </row>
    <row r="3" ht="12.75">
      <c r="B3" s="101"/>
    </row>
    <row r="4" ht="13.5" customHeight="1">
      <c r="B4" s="101"/>
    </row>
    <row r="5" spans="2:4" ht="18">
      <c r="B5" s="127" t="s">
        <v>14</v>
      </c>
      <c r="C5" s="127"/>
      <c r="D5" s="127"/>
    </row>
    <row r="6" spans="2:11" ht="18">
      <c r="B6" s="309" t="s">
        <v>133</v>
      </c>
      <c r="C6" s="309"/>
      <c r="D6" s="309"/>
      <c r="K6" s="130"/>
    </row>
    <row r="7" spans="2:11" ht="18">
      <c r="B7" s="309" t="s">
        <v>132</v>
      </c>
      <c r="C7" s="309"/>
      <c r="D7" s="309"/>
      <c r="K7" s="130"/>
    </row>
    <row r="8" spans="2:11" ht="16.5">
      <c r="B8" s="333" t="s">
        <v>32</v>
      </c>
      <c r="C8" s="181"/>
      <c r="D8" s="181"/>
      <c r="K8" s="130"/>
    </row>
    <row r="9" spans="2:11" s="133" customFormat="1" ht="18">
      <c r="B9" s="131" t="str">
        <f>+'DEP-C2'!B9</f>
        <v>Al 31 de marzo de 2024</v>
      </c>
      <c r="C9" s="131"/>
      <c r="D9" s="258"/>
      <c r="E9" s="308">
        <f>+Portada!H39</f>
        <v>3.721</v>
      </c>
      <c r="K9" s="187"/>
    </row>
    <row r="10" spans="2:11" ht="9.75" customHeight="1">
      <c r="B10" s="627"/>
      <c r="C10" s="627"/>
      <c r="D10" s="627"/>
      <c r="K10" s="130"/>
    </row>
    <row r="11" spans="2:11" ht="16.5" customHeight="1">
      <c r="B11" s="625" t="s">
        <v>93</v>
      </c>
      <c r="C11" s="619" t="s">
        <v>85</v>
      </c>
      <c r="D11" s="609" t="s">
        <v>207</v>
      </c>
      <c r="K11" s="130"/>
    </row>
    <row r="12" spans="2:11" ht="16.5" customHeight="1">
      <c r="B12" s="626"/>
      <c r="C12" s="620"/>
      <c r="D12" s="610"/>
      <c r="F12" s="65"/>
      <c r="G12" s="65"/>
      <c r="H12" s="203"/>
      <c r="I12" s="203"/>
      <c r="K12" s="130"/>
    </row>
    <row r="13" spans="2:11" s="80" customFormat="1" ht="9.75" customHeight="1">
      <c r="B13" s="249"/>
      <c r="C13" s="102"/>
      <c r="D13" s="102"/>
      <c r="F13" s="65"/>
      <c r="G13" s="65"/>
      <c r="H13" s="203"/>
      <c r="I13" s="203"/>
      <c r="K13" s="163"/>
    </row>
    <row r="14" spans="2:11" s="65" customFormat="1" ht="16.5" customHeight="1">
      <c r="B14" s="341" t="s">
        <v>87</v>
      </c>
      <c r="C14" s="368">
        <f>+C16+C20</f>
        <v>4554411.78864</v>
      </c>
      <c r="D14" s="368">
        <f>+D16+D20</f>
        <v>16946966.265529998</v>
      </c>
      <c r="E14" s="210"/>
      <c r="F14" s="339"/>
      <c r="H14" s="203"/>
      <c r="I14" s="203"/>
      <c r="K14" s="162"/>
    </row>
    <row r="15" spans="2:11" s="65" customFormat="1" ht="9.75" customHeight="1">
      <c r="B15" s="63"/>
      <c r="C15" s="454"/>
      <c r="D15" s="454"/>
      <c r="K15" s="162"/>
    </row>
    <row r="16" spans="2:11" s="65" customFormat="1" ht="16.5" customHeight="1">
      <c r="B16" s="342" t="s">
        <v>33</v>
      </c>
      <c r="C16" s="368">
        <f>SUM(C17:C18)</f>
        <v>4011111.11108</v>
      </c>
      <c r="D16" s="368">
        <f>SUM(D17:D18)</f>
        <v>14925344.44433</v>
      </c>
      <c r="E16" s="484"/>
      <c r="F16" s="445"/>
      <c r="H16" s="204"/>
      <c r="K16" s="162"/>
    </row>
    <row r="17" spans="2:11" s="65" customFormat="1" ht="16.5" customHeight="1">
      <c r="B17" s="334" t="s">
        <v>213</v>
      </c>
      <c r="C17" s="369">
        <v>3000000</v>
      </c>
      <c r="D17" s="369">
        <f>ROUND(+C17*$E$9,5)</f>
        <v>11163000</v>
      </c>
      <c r="F17" s="338"/>
      <c r="H17" s="204"/>
      <c r="K17" s="162"/>
    </row>
    <row r="18" spans="2:11" s="65" customFormat="1" ht="16.5" customHeight="1">
      <c r="B18" s="334" t="s">
        <v>224</v>
      </c>
      <c r="C18" s="369">
        <v>1011111.11108</v>
      </c>
      <c r="D18" s="369">
        <f>ROUND(+C18*$E$9,5)</f>
        <v>3762344.44433</v>
      </c>
      <c r="F18" s="338"/>
      <c r="H18" s="204"/>
      <c r="K18" s="162"/>
    </row>
    <row r="19" spans="2:11" s="65" customFormat="1" ht="12" customHeight="1">
      <c r="B19" s="64"/>
      <c r="C19" s="369"/>
      <c r="D19" s="369"/>
      <c r="H19" s="204"/>
      <c r="K19" s="162"/>
    </row>
    <row r="20" spans="2:11" s="65" customFormat="1" ht="16.5" customHeight="1">
      <c r="B20" s="342" t="s">
        <v>34</v>
      </c>
      <c r="C20" s="368">
        <f>SUM(C21:C26)</f>
        <v>543300.6775600001</v>
      </c>
      <c r="D20" s="368">
        <f>SUM(D21:D26)</f>
        <v>2021621.8212000001</v>
      </c>
      <c r="E20" s="484"/>
      <c r="F20" s="445"/>
      <c r="H20" s="204"/>
      <c r="K20" s="162"/>
    </row>
    <row r="21" spans="2:11" s="65" customFormat="1" ht="16.5" customHeight="1">
      <c r="B21" s="334" t="s">
        <v>214</v>
      </c>
      <c r="C21" s="369">
        <v>323243.51556</v>
      </c>
      <c r="D21" s="369">
        <f aca="true" t="shared" si="0" ref="D21:D26">ROUND(+C21*$E$9,5)</f>
        <v>1202789.1214</v>
      </c>
      <c r="E21" s="432"/>
      <c r="F21" s="338"/>
      <c r="H21" s="204"/>
      <c r="K21" s="162"/>
    </row>
    <row r="22" spans="2:11" s="65" customFormat="1" ht="16.5" customHeight="1">
      <c r="B22" s="334" t="s">
        <v>0</v>
      </c>
      <c r="C22" s="369">
        <v>112420.49598</v>
      </c>
      <c r="D22" s="369">
        <f t="shared" si="0"/>
        <v>418316.66554</v>
      </c>
      <c r="E22" s="432"/>
      <c r="F22" s="338"/>
      <c r="H22" s="204"/>
      <c r="K22" s="162"/>
    </row>
    <row r="23" spans="2:11" s="65" customFormat="1" ht="16.5" customHeight="1">
      <c r="B23" s="334" t="s">
        <v>178</v>
      </c>
      <c r="C23" s="369">
        <v>106177.68435</v>
      </c>
      <c r="D23" s="369">
        <f t="shared" si="0"/>
        <v>395087.16347</v>
      </c>
      <c r="E23" s="432"/>
      <c r="F23" s="338"/>
      <c r="G23" s="280"/>
      <c r="H23" s="204"/>
      <c r="K23" s="162"/>
    </row>
    <row r="24" spans="2:11" s="65" customFormat="1" ht="16.5" customHeight="1" hidden="1">
      <c r="B24" s="334" t="s">
        <v>229</v>
      </c>
      <c r="C24" s="369"/>
      <c r="D24" s="369">
        <f t="shared" si="0"/>
        <v>0</v>
      </c>
      <c r="E24" s="432"/>
      <c r="F24" s="338"/>
      <c r="G24" s="280"/>
      <c r="H24" s="204"/>
      <c r="K24" s="162"/>
    </row>
    <row r="25" spans="2:11" s="65" customFormat="1" ht="16.5" customHeight="1">
      <c r="B25" s="334" t="s">
        <v>181</v>
      </c>
      <c r="C25" s="369">
        <v>1458.98167</v>
      </c>
      <c r="D25" s="369">
        <f t="shared" si="0"/>
        <v>5428.87079</v>
      </c>
      <c r="E25" s="432"/>
      <c r="F25" s="338"/>
      <c r="G25" s="203"/>
      <c r="H25" s="203"/>
      <c r="K25" s="162"/>
    </row>
    <row r="26" spans="2:11" s="65" customFormat="1" ht="16.5" customHeight="1" hidden="1">
      <c r="B26" s="334" t="s">
        <v>179</v>
      </c>
      <c r="C26" s="369">
        <v>0</v>
      </c>
      <c r="D26" s="369">
        <f t="shared" si="0"/>
        <v>0</v>
      </c>
      <c r="F26" s="338"/>
      <c r="G26" s="203"/>
      <c r="H26" s="203"/>
      <c r="I26" s="203"/>
      <c r="K26" s="162"/>
    </row>
    <row r="27" spans="2:8" s="65" customFormat="1" ht="15" customHeight="1">
      <c r="B27" s="66"/>
      <c r="C27" s="369"/>
      <c r="D27" s="369"/>
      <c r="G27" s="218"/>
      <c r="H27" s="218"/>
    </row>
    <row r="28" spans="2:8" s="65" customFormat="1" ht="16.5" customHeight="1">
      <c r="B28" s="341" t="s">
        <v>88</v>
      </c>
      <c r="C28" s="368">
        <f>+C30+C39</f>
        <v>4011029.6535500004</v>
      </c>
      <c r="D28" s="368">
        <f>+D30+D39</f>
        <v>14925041.34084631</v>
      </c>
      <c r="F28" s="339"/>
      <c r="G28" s="203"/>
      <c r="H28" s="203"/>
    </row>
    <row r="29" spans="2:4" s="65" customFormat="1" ht="9.75" customHeight="1">
      <c r="B29" s="63"/>
      <c r="C29" s="454"/>
      <c r="D29" s="454"/>
    </row>
    <row r="30" spans="2:8" s="65" customFormat="1" ht="16.5" customHeight="1">
      <c r="B30" s="342" t="s">
        <v>33</v>
      </c>
      <c r="C30" s="368">
        <f>SUM(C31:C37)</f>
        <v>3079921.1664600004</v>
      </c>
      <c r="D30" s="368">
        <f>SUM(D31:D37)</f>
        <v>11460386.660389999</v>
      </c>
      <c r="E30" s="484"/>
      <c r="F30" s="445"/>
      <c r="H30" s="204"/>
    </row>
    <row r="31" spans="2:8" s="65" customFormat="1" ht="16.5" customHeight="1">
      <c r="B31" s="334" t="s">
        <v>212</v>
      </c>
      <c r="C31" s="369">
        <v>1766548</v>
      </c>
      <c r="D31" s="369">
        <f aca="true" t="shared" si="1" ref="D31:D37">ROUND(+C31*$E$9,5)</f>
        <v>6573325.108</v>
      </c>
      <c r="E31" s="484"/>
      <c r="F31" s="445"/>
      <c r="H31" s="204"/>
    </row>
    <row r="32" spans="2:8" s="65" customFormat="1" ht="16.5" customHeight="1">
      <c r="B32" s="334" t="s">
        <v>241</v>
      </c>
      <c r="C32" s="369">
        <v>588226.28326</v>
      </c>
      <c r="D32" s="369">
        <f t="shared" si="1"/>
        <v>2188790.00001</v>
      </c>
      <c r="E32" s="484"/>
      <c r="F32" s="445"/>
      <c r="H32" s="204"/>
    </row>
    <row r="33" spans="2:8" s="65" customFormat="1" ht="16.5" customHeight="1">
      <c r="B33" s="334" t="s">
        <v>225</v>
      </c>
      <c r="C33" s="369">
        <v>308079.36376</v>
      </c>
      <c r="D33" s="369">
        <f t="shared" si="1"/>
        <v>1146363.31255</v>
      </c>
      <c r="E33" s="484"/>
      <c r="F33" s="445"/>
      <c r="H33" s="204"/>
    </row>
    <row r="34" spans="2:8" s="65" customFormat="1" ht="16.5" customHeight="1">
      <c r="B34" s="334" t="s">
        <v>176</v>
      </c>
      <c r="C34" s="369">
        <v>212039.7743</v>
      </c>
      <c r="D34" s="369">
        <f t="shared" si="1"/>
        <v>789000.00017</v>
      </c>
      <c r="E34" s="484"/>
      <c r="F34" s="445"/>
      <c r="H34" s="204"/>
    </row>
    <row r="35" spans="2:8" s="65" customFormat="1" ht="16.5" customHeight="1">
      <c r="B35" s="334" t="s">
        <v>262</v>
      </c>
      <c r="C35" s="369">
        <v>164471.91615</v>
      </c>
      <c r="D35" s="369">
        <f t="shared" si="1"/>
        <v>611999.99999</v>
      </c>
      <c r="E35" s="484"/>
      <c r="F35" s="445"/>
      <c r="H35" s="204"/>
    </row>
    <row r="36" spans="2:8" s="65" customFormat="1" ht="16.5" customHeight="1">
      <c r="B36" s="334" t="s">
        <v>226</v>
      </c>
      <c r="C36" s="369">
        <v>38076.924</v>
      </c>
      <c r="D36" s="369">
        <f t="shared" si="1"/>
        <v>141684.2342</v>
      </c>
      <c r="E36" s="484"/>
      <c r="F36" s="445"/>
      <c r="H36" s="204"/>
    </row>
    <row r="37" spans="2:8" s="65" customFormat="1" ht="16.5" customHeight="1">
      <c r="B37" s="334" t="s">
        <v>175</v>
      </c>
      <c r="C37" s="369">
        <v>2478.90499</v>
      </c>
      <c r="D37" s="369">
        <f t="shared" si="1"/>
        <v>9224.00547</v>
      </c>
      <c r="E37" s="484"/>
      <c r="F37" s="445"/>
      <c r="H37" s="204"/>
    </row>
    <row r="38" spans="2:8" s="65" customFormat="1" ht="12" customHeight="1">
      <c r="B38" s="64"/>
      <c r="C38" s="369"/>
      <c r="D38" s="369"/>
      <c r="H38" s="204"/>
    </row>
    <row r="39" spans="2:8" s="65" customFormat="1" ht="16.5" customHeight="1">
      <c r="B39" s="342" t="s">
        <v>34</v>
      </c>
      <c r="C39" s="368">
        <f>SUM(C40:C46)</f>
        <v>931108.4870900001</v>
      </c>
      <c r="D39" s="368">
        <f>SUM(D40:D46)</f>
        <v>3464654.68045631</v>
      </c>
      <c r="E39" s="484"/>
      <c r="F39" s="485"/>
      <c r="H39" s="204"/>
    </row>
    <row r="40" spans="2:8" s="65" customFormat="1" ht="16.5" customHeight="1">
      <c r="B40" s="334" t="s">
        <v>215</v>
      </c>
      <c r="C40" s="369">
        <v>500321.26308</v>
      </c>
      <c r="D40" s="369">
        <f>ROUND(+C40*$E$9,5)</f>
        <v>1861695.41992</v>
      </c>
      <c r="E40" s="484"/>
      <c r="F40" s="339"/>
      <c r="H40" s="204"/>
    </row>
    <row r="41" spans="2:8" s="65" customFormat="1" ht="16.5" customHeight="1">
      <c r="B41" s="334" t="s">
        <v>177</v>
      </c>
      <c r="C41" s="369">
        <v>387484.3769</v>
      </c>
      <c r="D41" s="369">
        <f>ROUND(+C41*$E$9,5)</f>
        <v>1441829.36644</v>
      </c>
      <c r="E41" s="484"/>
      <c r="F41" s="474"/>
      <c r="H41" s="204"/>
    </row>
    <row r="42" spans="2:8" s="65" customFormat="1" ht="16.5" customHeight="1">
      <c r="B42" s="334" t="s">
        <v>214</v>
      </c>
      <c r="C42" s="369">
        <v>30345.50074</v>
      </c>
      <c r="D42" s="369">
        <f>ROUND(+C42*$E$9,8)</f>
        <v>112915.60825354</v>
      </c>
      <c r="E42" s="484"/>
      <c r="F42" s="428"/>
      <c r="H42" s="204"/>
    </row>
    <row r="43" spans="2:8" s="65" customFormat="1" ht="16.5" customHeight="1" hidden="1">
      <c r="B43" s="334" t="s">
        <v>183</v>
      </c>
      <c r="C43" s="529">
        <v>0</v>
      </c>
      <c r="D43" s="369">
        <f>ROUND(+C43*$E$9,8)</f>
        <v>0</v>
      </c>
      <c r="E43" s="484"/>
      <c r="F43" s="428"/>
      <c r="H43" s="204"/>
    </row>
    <row r="44" spans="2:8" s="65" customFormat="1" ht="16.5" customHeight="1">
      <c r="B44" s="334" t="s">
        <v>204</v>
      </c>
      <c r="C44" s="369">
        <v>10135.52428</v>
      </c>
      <c r="D44" s="369">
        <f>ROUND(+C44*$E$9,8)</f>
        <v>37714.28584588</v>
      </c>
      <c r="E44" s="484"/>
      <c r="F44" s="428"/>
      <c r="H44" s="204"/>
    </row>
    <row r="45" spans="2:8" s="65" customFormat="1" ht="16.5" customHeight="1">
      <c r="B45" s="334" t="s">
        <v>154</v>
      </c>
      <c r="C45" s="369">
        <v>2821.82209</v>
      </c>
      <c r="D45" s="369">
        <f>ROUND(+C45*$E$9,8)</f>
        <v>10499.99999689</v>
      </c>
      <c r="E45" s="484"/>
      <c r="F45" s="428"/>
      <c r="H45" s="204"/>
    </row>
    <row r="46" spans="2:8" s="65" customFormat="1" ht="16.5" customHeight="1" hidden="1">
      <c r="B46" s="334" t="s">
        <v>180</v>
      </c>
      <c r="C46" s="369">
        <v>0</v>
      </c>
      <c r="D46" s="369">
        <f>ROUND(+C46*$E$9,8)</f>
        <v>0</v>
      </c>
      <c r="E46" s="367"/>
      <c r="F46" s="428"/>
      <c r="H46" s="204"/>
    </row>
    <row r="47" spans="2:8" s="65" customFormat="1" ht="9" customHeight="1">
      <c r="B47" s="64"/>
      <c r="C47" s="369"/>
      <c r="D47" s="369"/>
      <c r="H47" s="204"/>
    </row>
    <row r="48" spans="2:8" s="65" customFormat="1" ht="15" customHeight="1">
      <c r="B48" s="622" t="s">
        <v>60</v>
      </c>
      <c r="C48" s="617">
        <f>+C28+C14</f>
        <v>8565441.44219</v>
      </c>
      <c r="D48" s="617">
        <f>+D28+D14</f>
        <v>31872007.606376305</v>
      </c>
      <c r="F48" s="339"/>
      <c r="H48" s="204"/>
    </row>
    <row r="49" spans="2:8" s="80" customFormat="1" ht="15" customHeight="1">
      <c r="B49" s="623"/>
      <c r="C49" s="618"/>
      <c r="D49" s="618"/>
      <c r="H49" s="204"/>
    </row>
    <row r="50" spans="2:8" s="80" customFormat="1" ht="7.5" customHeight="1">
      <c r="B50" s="103"/>
      <c r="C50" s="104"/>
      <c r="D50" s="104"/>
      <c r="H50" s="204"/>
    </row>
    <row r="51" spans="2:4" ht="14.25" customHeight="1">
      <c r="B51" s="84" t="s">
        <v>237</v>
      </c>
      <c r="C51" s="530"/>
      <c r="D51" s="84"/>
    </row>
    <row r="52" spans="2:4" ht="14.25" customHeight="1">
      <c r="B52" s="84" t="s">
        <v>216</v>
      </c>
      <c r="C52" s="442"/>
      <c r="D52" s="84"/>
    </row>
    <row r="53" spans="2:5" ht="14.25" customHeight="1">
      <c r="B53" s="531" t="s">
        <v>258</v>
      </c>
      <c r="C53" s="84"/>
      <c r="D53" s="166"/>
      <c r="E53" s="188"/>
    </row>
    <row r="54" spans="2:5" ht="14.25" customHeight="1">
      <c r="B54" s="84" t="s">
        <v>263</v>
      </c>
      <c r="C54" s="84"/>
      <c r="D54" s="84"/>
      <c r="E54" s="188"/>
    </row>
    <row r="55" spans="2:5" ht="12.75">
      <c r="B55" s="526"/>
      <c r="C55" s="188"/>
      <c r="D55" s="188"/>
      <c r="E55" s="188"/>
    </row>
    <row r="56" spans="2:5" ht="12.75">
      <c r="B56" s="84"/>
      <c r="C56" s="188"/>
      <c r="D56" s="188"/>
      <c r="E56" s="188"/>
    </row>
    <row r="57" spans="3:5" ht="12.75">
      <c r="C57" s="188"/>
      <c r="D57" s="188"/>
      <c r="E57" s="188"/>
    </row>
    <row r="58" spans="2:4" s="133" customFormat="1" ht="18">
      <c r="B58" s="127" t="s">
        <v>116</v>
      </c>
      <c r="C58" s="127"/>
      <c r="D58" s="127"/>
    </row>
    <row r="59" spans="2:4" ht="18">
      <c r="B59" s="309" t="s">
        <v>133</v>
      </c>
      <c r="C59" s="309"/>
      <c r="D59" s="309"/>
    </row>
    <row r="60" spans="2:4" ht="18">
      <c r="B60" s="309" t="s">
        <v>134</v>
      </c>
      <c r="C60" s="309"/>
      <c r="D60" s="309"/>
    </row>
    <row r="61" spans="2:4" ht="16.5">
      <c r="B61" s="333" t="s">
        <v>32</v>
      </c>
      <c r="C61" s="181"/>
      <c r="D61" s="181"/>
    </row>
    <row r="62" spans="2:4" s="133" customFormat="1" ht="18">
      <c r="B62" s="131" t="str">
        <f>+B9</f>
        <v>Al 31 de marzo de 2024</v>
      </c>
      <c r="C62" s="131"/>
      <c r="D62" s="246"/>
    </row>
    <row r="63" spans="2:4" ht="9.75" customHeight="1">
      <c r="B63" s="627"/>
      <c r="C63" s="627"/>
      <c r="D63" s="627"/>
    </row>
    <row r="64" spans="2:4" ht="16.5" customHeight="1">
      <c r="B64" s="625" t="s">
        <v>93</v>
      </c>
      <c r="C64" s="619" t="s">
        <v>85</v>
      </c>
      <c r="D64" s="609" t="s">
        <v>207</v>
      </c>
    </row>
    <row r="65" spans="2:4" ht="16.5" customHeight="1">
      <c r="B65" s="626"/>
      <c r="C65" s="620"/>
      <c r="D65" s="610"/>
    </row>
    <row r="66" spans="2:4" s="80" customFormat="1" ht="9.75" customHeight="1">
      <c r="B66" s="249"/>
      <c r="C66" s="102"/>
      <c r="D66" s="102"/>
    </row>
    <row r="67" spans="2:6" s="65" customFormat="1" ht="16.5" customHeight="1">
      <c r="B67" s="341" t="s">
        <v>87</v>
      </c>
      <c r="C67" s="368">
        <f>+C69+C78</f>
        <v>851339.7040899999</v>
      </c>
      <c r="D67" s="368">
        <f>+D69+D78</f>
        <v>3167835.03891889</v>
      </c>
      <c r="F67" s="339"/>
    </row>
    <row r="68" spans="2:8" s="65" customFormat="1" ht="9.75" customHeight="1">
      <c r="B68" s="64"/>
      <c r="C68" s="369"/>
      <c r="D68" s="369"/>
      <c r="H68" s="204"/>
    </row>
    <row r="69" spans="2:8" s="65" customFormat="1" ht="16.5" customHeight="1">
      <c r="B69" s="342" t="s">
        <v>33</v>
      </c>
      <c r="C69" s="368">
        <f>SUM(C70:C76)</f>
        <v>543201.74553</v>
      </c>
      <c r="D69" s="368">
        <f>SUM(D70:D76)</f>
        <v>2021253.69511713</v>
      </c>
      <c r="F69" s="339"/>
      <c r="G69" s="205"/>
      <c r="H69" s="205"/>
    </row>
    <row r="70" spans="2:8" s="65" customFormat="1" ht="16.5" customHeight="1">
      <c r="B70" s="334" t="s">
        <v>238</v>
      </c>
      <c r="C70" s="369">
        <v>269201.74553</v>
      </c>
      <c r="D70" s="369">
        <f aca="true" t="shared" si="2" ref="D70:D76">ROUND(+C70*$E$9,8)</f>
        <v>1001699.69511713</v>
      </c>
      <c r="F70" s="339"/>
      <c r="G70" s="205"/>
      <c r="H70" s="205"/>
    </row>
    <row r="71" spans="2:8" s="65" customFormat="1" ht="16.5" customHeight="1">
      <c r="B71" s="334" t="s">
        <v>251</v>
      </c>
      <c r="C71" s="369">
        <v>150000</v>
      </c>
      <c r="D71" s="369">
        <f t="shared" si="2"/>
        <v>558150</v>
      </c>
      <c r="F71" s="339"/>
      <c r="G71" s="205"/>
      <c r="H71" s="205"/>
    </row>
    <row r="72" spans="2:8" s="65" customFormat="1" ht="16.5" customHeight="1">
      <c r="B72" s="334" t="s">
        <v>246</v>
      </c>
      <c r="C72" s="369">
        <v>74000</v>
      </c>
      <c r="D72" s="369">
        <f t="shared" si="2"/>
        <v>275354</v>
      </c>
      <c r="F72" s="339"/>
      <c r="G72" s="205"/>
      <c r="H72" s="205"/>
    </row>
    <row r="73" spans="2:8" s="65" customFormat="1" ht="16.5" customHeight="1">
      <c r="B73" s="334" t="s">
        <v>241</v>
      </c>
      <c r="C73" s="369">
        <v>20000</v>
      </c>
      <c r="D73" s="369">
        <f t="shared" si="2"/>
        <v>74420</v>
      </c>
      <c r="F73" s="339"/>
      <c r="G73" s="205"/>
      <c r="H73" s="205"/>
    </row>
    <row r="74" spans="2:8" s="65" customFormat="1" ht="16.5" customHeight="1" hidden="1">
      <c r="B74" s="334" t="s">
        <v>250</v>
      </c>
      <c r="C74" s="529">
        <v>0</v>
      </c>
      <c r="D74" s="369">
        <f t="shared" si="2"/>
        <v>0</v>
      </c>
      <c r="F74" s="339"/>
      <c r="G74" s="205"/>
      <c r="H74" s="205"/>
    </row>
    <row r="75" spans="2:8" s="65" customFormat="1" ht="16.5" customHeight="1">
      <c r="B75" s="334" t="s">
        <v>252</v>
      </c>
      <c r="C75" s="369">
        <v>20000</v>
      </c>
      <c r="D75" s="369">
        <f t="shared" si="2"/>
        <v>74420</v>
      </c>
      <c r="F75" s="339"/>
      <c r="G75" s="205"/>
      <c r="H75" s="205"/>
    </row>
    <row r="76" spans="2:8" s="65" customFormat="1" ht="16.5" customHeight="1">
      <c r="B76" s="334" t="s">
        <v>253</v>
      </c>
      <c r="C76" s="369">
        <v>10000</v>
      </c>
      <c r="D76" s="369">
        <f t="shared" si="2"/>
        <v>37210</v>
      </c>
      <c r="F76" s="339"/>
      <c r="G76" s="205"/>
      <c r="H76" s="205"/>
    </row>
    <row r="77" spans="2:4" s="65" customFormat="1" ht="9.75" customHeight="1">
      <c r="B77" s="63"/>
      <c r="C77" s="454"/>
      <c r="D77" s="454"/>
    </row>
    <row r="78" spans="2:8" s="65" customFormat="1" ht="16.5" customHeight="1">
      <c r="B78" s="342" t="s">
        <v>34</v>
      </c>
      <c r="C78" s="368">
        <f>SUM(C79:C85)</f>
        <v>308137.95856</v>
      </c>
      <c r="D78" s="368">
        <f>SUM(D79:D85)</f>
        <v>1146581.3438017599</v>
      </c>
      <c r="H78" s="204"/>
    </row>
    <row r="79" spans="2:8" s="65" customFormat="1" ht="16.5" customHeight="1">
      <c r="B79" s="334" t="s">
        <v>182</v>
      </c>
      <c r="C79" s="369">
        <v>149397.56336</v>
      </c>
      <c r="D79" s="369">
        <f>ROUND(+C79*$E$9,8)</f>
        <v>555908.33326256</v>
      </c>
      <c r="H79" s="204"/>
    </row>
    <row r="80" spans="2:8" s="65" customFormat="1" ht="16.5" customHeight="1">
      <c r="B80" s="334" t="s">
        <v>181</v>
      </c>
      <c r="C80" s="369">
        <v>64657.79795</v>
      </c>
      <c r="D80" s="369">
        <f>ROUND(+C80*$E$9,8)</f>
        <v>240591.66617195</v>
      </c>
      <c r="H80" s="204"/>
    </row>
    <row r="81" spans="2:8" s="65" customFormat="1" ht="16.5" customHeight="1">
      <c r="B81" s="334" t="s">
        <v>154</v>
      </c>
      <c r="C81" s="369">
        <v>56412.48649</v>
      </c>
      <c r="D81" s="369">
        <f>ROUND(+C81*$E$9,8)</f>
        <v>209910.86222929</v>
      </c>
      <c r="H81" s="204"/>
    </row>
    <row r="82" spans="2:8" s="65" customFormat="1" ht="16.5" customHeight="1">
      <c r="B82" s="334" t="s">
        <v>183</v>
      </c>
      <c r="C82" s="369">
        <v>17603.7105</v>
      </c>
      <c r="D82" s="369">
        <f>ROUND(+C82*$E$9,8)</f>
        <v>65503.4067705</v>
      </c>
      <c r="H82" s="204"/>
    </row>
    <row r="83" spans="2:8" s="65" customFormat="1" ht="16.5" customHeight="1" hidden="1">
      <c r="B83" s="334" t="s">
        <v>249</v>
      </c>
      <c r="C83" s="369">
        <v>0</v>
      </c>
      <c r="D83" s="369">
        <f>ROUND(+C83*$E$9,8)</f>
        <v>0</v>
      </c>
      <c r="H83" s="204"/>
    </row>
    <row r="84" spans="2:8" s="65" customFormat="1" ht="16.5" customHeight="1">
      <c r="B84" s="334" t="s">
        <v>254</v>
      </c>
      <c r="C84" s="369">
        <v>11287.28836</v>
      </c>
      <c r="D84" s="511">
        <f>ROUND(+C84*$E$9,8)</f>
        <v>41999.99998756</v>
      </c>
      <c r="H84" s="204"/>
    </row>
    <row r="85" spans="2:8" s="65" customFormat="1" ht="16.5" customHeight="1">
      <c r="B85" s="334" t="s">
        <v>180</v>
      </c>
      <c r="C85" s="369">
        <v>8779.1119</v>
      </c>
      <c r="D85" s="369">
        <f>ROUND(+C85*$E$9,8)</f>
        <v>32667.0753799</v>
      </c>
      <c r="H85" s="204"/>
    </row>
    <row r="86" spans="2:8" s="65" customFormat="1" ht="12" customHeight="1">
      <c r="B86" s="334"/>
      <c r="C86" s="369"/>
      <c r="D86" s="369"/>
      <c r="H86" s="204"/>
    </row>
    <row r="87" spans="2:8" s="65" customFormat="1" ht="16.5" customHeight="1">
      <c r="B87" s="341" t="s">
        <v>88</v>
      </c>
      <c r="C87" s="368">
        <f>+C89+C91</f>
        <v>103466.81</v>
      </c>
      <c r="D87" s="368">
        <f>+D89+D91</f>
        <v>385000.00000999996</v>
      </c>
      <c r="H87" s="204"/>
    </row>
    <row r="88" spans="2:8" s="65" customFormat="1" ht="9.75" customHeight="1">
      <c r="B88" s="476"/>
      <c r="C88" s="102"/>
      <c r="D88" s="102"/>
      <c r="H88" s="204"/>
    </row>
    <row r="89" spans="2:8" s="65" customFormat="1" ht="16.5" customHeight="1" hidden="1">
      <c r="B89" s="342" t="s">
        <v>33</v>
      </c>
      <c r="C89" s="368">
        <v>0</v>
      </c>
      <c r="D89" s="368">
        <v>0</v>
      </c>
      <c r="H89" s="204"/>
    </row>
    <row r="90" spans="2:8" s="65" customFormat="1" ht="9.75" customHeight="1" hidden="1">
      <c r="B90" s="476"/>
      <c r="C90" s="102"/>
      <c r="D90" s="102"/>
      <c r="H90" s="204"/>
    </row>
    <row r="91" spans="2:8" s="65" customFormat="1" ht="16.5" customHeight="1">
      <c r="B91" s="342" t="s">
        <v>34</v>
      </c>
      <c r="C91" s="368">
        <f>SUM(C92:C93)</f>
        <v>103466.81</v>
      </c>
      <c r="D91" s="368">
        <f>SUM(D92:D93)</f>
        <v>385000.00000999996</v>
      </c>
      <c r="H91" s="204"/>
    </row>
    <row r="92" spans="2:8" s="65" customFormat="1" ht="16.5" customHeight="1">
      <c r="B92" s="334" t="s">
        <v>229</v>
      </c>
      <c r="C92" s="369">
        <v>53748.99221</v>
      </c>
      <c r="D92" s="369">
        <f>ROUND(+C92*$E$9,8)</f>
        <v>200000.00001341</v>
      </c>
      <c r="H92" s="204"/>
    </row>
    <row r="93" spans="2:8" s="65" customFormat="1" ht="16.5" customHeight="1">
      <c r="B93" s="334" t="s">
        <v>154</v>
      </c>
      <c r="C93" s="369">
        <v>49717.81779</v>
      </c>
      <c r="D93" s="369">
        <f>ROUND(+C93*$E$9,8)</f>
        <v>184999.99999659</v>
      </c>
      <c r="H93" s="204"/>
    </row>
    <row r="94" spans="2:8" s="65" customFormat="1" ht="9" customHeight="1">
      <c r="B94" s="64"/>
      <c r="C94" s="369"/>
      <c r="D94" s="369"/>
      <c r="H94" s="204"/>
    </row>
    <row r="95" spans="2:8" s="65" customFormat="1" ht="15" customHeight="1">
      <c r="B95" s="628" t="s">
        <v>60</v>
      </c>
      <c r="C95" s="617">
        <f>+C67+C87</f>
        <v>954806.51409</v>
      </c>
      <c r="D95" s="617">
        <f>+D67+D87</f>
        <v>3552835.03892889</v>
      </c>
      <c r="F95" s="339"/>
      <c r="H95" s="204"/>
    </row>
    <row r="96" spans="2:8" s="80" customFormat="1" ht="15" customHeight="1">
      <c r="B96" s="629"/>
      <c r="C96" s="618"/>
      <c r="D96" s="618"/>
      <c r="F96" s="211"/>
      <c r="H96" s="204"/>
    </row>
    <row r="97" ht="12.75">
      <c r="C97" s="188"/>
    </row>
    <row r="98" spans="3:4" ht="12.75">
      <c r="C98" s="100"/>
      <c r="D98" s="279"/>
    </row>
    <row r="99" spans="3:4" ht="12.75">
      <c r="C99" s="281"/>
      <c r="D99" s="281"/>
    </row>
    <row r="100" ht="12.75">
      <c r="C100" s="419"/>
    </row>
    <row r="101" ht="12.75">
      <c r="C101" s="419"/>
    </row>
    <row r="102" ht="12.75">
      <c r="C102" s="419"/>
    </row>
    <row r="103" ht="12.75">
      <c r="C103" s="419"/>
    </row>
    <row r="104" ht="12.75">
      <c r="C104" s="419"/>
    </row>
    <row r="105" ht="12.75">
      <c r="C105" s="419"/>
    </row>
    <row r="106" ht="12.75">
      <c r="C106" s="419"/>
    </row>
  </sheetData>
  <sheetProtection/>
  <mergeCells count="14">
    <mergeCell ref="D64:D65"/>
    <mergeCell ref="B11:B12"/>
    <mergeCell ref="D48:D49"/>
    <mergeCell ref="C11:C12"/>
    <mergeCell ref="B10:D10"/>
    <mergeCell ref="B95:B96"/>
    <mergeCell ref="C95:C96"/>
    <mergeCell ref="D95:D96"/>
    <mergeCell ref="B63:D63"/>
    <mergeCell ref="B64:B65"/>
    <mergeCell ref="D11:D12"/>
    <mergeCell ref="C48:C49"/>
    <mergeCell ref="B48:B49"/>
    <mergeCell ref="C64:C65"/>
  </mergeCells>
  <printOptions horizontalCentered="1"/>
  <pageMargins left="0.2362204724409449" right="0.31496062992125984" top="0.2362204724409449" bottom="0.31496062992125984" header="0.5905511811023623" footer="0.31496062992125984"/>
  <pageSetup fitToHeight="1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5" customWidth="1"/>
    <col min="2" max="2" width="52.00390625" style="85" customWidth="1"/>
    <col min="3" max="4" width="19.7109375" style="85" customWidth="1"/>
    <col min="5" max="5" width="15.7109375" style="85" customWidth="1"/>
    <col min="6" max="6" width="16.28125" style="85" customWidth="1"/>
    <col min="7" max="7" width="17.8515625" style="85" bestFit="1" customWidth="1"/>
    <col min="8" max="8" width="15.7109375" style="212" customWidth="1"/>
    <col min="9" max="9" width="11.421875" style="85" customWidth="1"/>
    <col min="10" max="10" width="17.8515625" style="85" bestFit="1" customWidth="1"/>
    <col min="11" max="16384" width="11.421875" style="85" customWidth="1"/>
  </cols>
  <sheetData>
    <row r="1" ht="12.75">
      <c r="B1" s="101"/>
    </row>
    <row r="2" ht="12.75">
      <c r="B2" s="101"/>
    </row>
    <row r="3" ht="12.75">
      <c r="B3" s="101"/>
    </row>
    <row r="4" ht="11.25" customHeight="1">
      <c r="B4" s="101"/>
    </row>
    <row r="5" spans="2:9" ht="18">
      <c r="B5" s="127" t="s">
        <v>89</v>
      </c>
      <c r="C5" s="127"/>
      <c r="D5" s="127"/>
      <c r="I5" s="269"/>
    </row>
    <row r="6" spans="2:9" ht="18">
      <c r="B6" s="309" t="s">
        <v>133</v>
      </c>
      <c r="C6" s="309"/>
      <c r="D6" s="309"/>
      <c r="I6" s="279"/>
    </row>
    <row r="7" spans="2:4" ht="18">
      <c r="B7" s="309" t="s">
        <v>132</v>
      </c>
      <c r="C7" s="309"/>
      <c r="D7" s="309"/>
    </row>
    <row r="8" spans="2:4" ht="16.5">
      <c r="B8" s="333" t="s">
        <v>1</v>
      </c>
      <c r="C8" s="181"/>
      <c r="D8" s="181"/>
    </row>
    <row r="9" spans="2:5" ht="15.75">
      <c r="B9" s="131" t="str">
        <f>+'DEP-C2'!B9</f>
        <v>Al 31 de marzo de 2024</v>
      </c>
      <c r="C9" s="131"/>
      <c r="D9" s="258"/>
      <c r="E9" s="308">
        <f>+Portada!H39</f>
        <v>3.721</v>
      </c>
    </row>
    <row r="10" spans="2:4" ht="9.75" customHeight="1">
      <c r="B10" s="627"/>
      <c r="C10" s="627"/>
      <c r="D10" s="627"/>
    </row>
    <row r="11" spans="2:4" ht="16.5" customHeight="1">
      <c r="B11" s="613" t="s">
        <v>147</v>
      </c>
      <c r="C11" s="609" t="s">
        <v>85</v>
      </c>
      <c r="D11" s="632" t="s">
        <v>161</v>
      </c>
    </row>
    <row r="12" spans="2:8" s="80" customFormat="1" ht="16.5" customHeight="1">
      <c r="B12" s="614"/>
      <c r="C12" s="610"/>
      <c r="D12" s="633"/>
      <c r="H12" s="202"/>
    </row>
    <row r="13" spans="2:8" s="80" customFormat="1" ht="9.75" customHeight="1">
      <c r="B13" s="247"/>
      <c r="C13" s="480"/>
      <c r="D13" s="135"/>
      <c r="H13" s="202"/>
    </row>
    <row r="14" spans="2:9" s="65" customFormat="1" ht="16.5" customHeight="1">
      <c r="B14" s="352" t="s">
        <v>0</v>
      </c>
      <c r="C14" s="481">
        <f>SUM(C15:C16)</f>
        <v>4501337.9147</v>
      </c>
      <c r="D14" s="453">
        <f>SUM(D15:D16)</f>
        <v>16749478.38059875</v>
      </c>
      <c r="E14" s="213"/>
      <c r="F14" s="339"/>
      <c r="G14" s="282"/>
      <c r="H14" s="282"/>
      <c r="I14" s="282"/>
    </row>
    <row r="15" spans="2:8" s="65" customFormat="1" ht="16.5" customHeight="1">
      <c r="B15" s="69" t="s">
        <v>24</v>
      </c>
      <c r="C15" s="482">
        <v>490308.26115</v>
      </c>
      <c r="D15" s="452">
        <f>ROUND(+C15*$E$9,8)</f>
        <v>1824437.03973915</v>
      </c>
      <c r="E15" s="440"/>
      <c r="F15" s="338"/>
      <c r="G15" s="343"/>
      <c r="H15" s="282"/>
    </row>
    <row r="16" spans="2:8" s="65" customFormat="1" ht="16.5" customHeight="1">
      <c r="B16" s="69" t="s">
        <v>25</v>
      </c>
      <c r="C16" s="482">
        <v>4011029.65355</v>
      </c>
      <c r="D16" s="452">
        <f>ROUND(+C16*$E$9,8)</f>
        <v>14925041.3408596</v>
      </c>
      <c r="E16" s="440"/>
      <c r="F16" s="338"/>
      <c r="G16" s="282"/>
      <c r="H16" s="282"/>
    </row>
    <row r="17" spans="2:8" s="65" customFormat="1" ht="12" customHeight="1">
      <c r="B17" s="69"/>
      <c r="C17" s="482"/>
      <c r="D17" s="452"/>
      <c r="E17" s="439"/>
      <c r="H17" s="206"/>
    </row>
    <row r="18" spans="2:8" s="65" customFormat="1" ht="16.5" customHeight="1">
      <c r="B18" s="352" t="s">
        <v>184</v>
      </c>
      <c r="C18" s="481">
        <f>SUM(C19:C19)</f>
        <v>52992.41641</v>
      </c>
      <c r="D18" s="453">
        <f>SUM(D19:D19)</f>
        <v>197184.78146161</v>
      </c>
      <c r="E18" s="439"/>
      <c r="F18" s="339"/>
      <c r="G18" s="283"/>
      <c r="H18" s="283"/>
    </row>
    <row r="19" spans="2:8" s="65" customFormat="1" ht="16.5" customHeight="1">
      <c r="B19" s="69" t="s">
        <v>24</v>
      </c>
      <c r="C19" s="482">
        <v>52992.41641</v>
      </c>
      <c r="D19" s="452">
        <f>ROUND(+C19*$E$9,8)</f>
        <v>197184.78146161</v>
      </c>
      <c r="E19" s="440"/>
      <c r="F19" s="338"/>
      <c r="H19" s="206"/>
    </row>
    <row r="20" spans="2:8" s="65" customFormat="1" ht="11.25" customHeight="1">
      <c r="B20" s="69"/>
      <c r="C20" s="482"/>
      <c r="D20" s="452"/>
      <c r="E20" s="439"/>
      <c r="H20" s="206"/>
    </row>
    <row r="21" spans="2:8" s="65" customFormat="1" ht="16.5" customHeight="1">
      <c r="B21" s="352" t="s">
        <v>185</v>
      </c>
      <c r="C21" s="481">
        <f>+C22</f>
        <v>4011111.11108</v>
      </c>
      <c r="D21" s="453">
        <f>+D22</f>
        <v>14925344.4443287</v>
      </c>
      <c r="E21" s="439"/>
      <c r="F21" s="339"/>
      <c r="H21" s="206"/>
    </row>
    <row r="22" spans="2:8" s="65" customFormat="1" ht="16.5" customHeight="1">
      <c r="B22" s="69" t="s">
        <v>24</v>
      </c>
      <c r="C22" s="482">
        <v>4011111.11108</v>
      </c>
      <c r="D22" s="452">
        <f>ROUND(+C22*$E$9,8)</f>
        <v>14925344.4443287</v>
      </c>
      <c r="E22" s="440"/>
      <c r="F22" s="338"/>
      <c r="H22" s="206"/>
    </row>
    <row r="23" spans="2:8" s="65" customFormat="1" ht="9.75" customHeight="1">
      <c r="B23" s="68"/>
      <c r="C23" s="483"/>
      <c r="D23" s="451"/>
      <c r="F23" s="338"/>
      <c r="H23" s="206"/>
    </row>
    <row r="24" spans="2:8" s="65" customFormat="1" ht="15" customHeight="1">
      <c r="B24" s="622" t="s">
        <v>60</v>
      </c>
      <c r="C24" s="630">
        <f>+C18+C14+C21</f>
        <v>8565441.442189999</v>
      </c>
      <c r="D24" s="634">
        <f>+D18+D14+D21</f>
        <v>31872007.60638906</v>
      </c>
      <c r="F24" s="339"/>
      <c r="H24" s="206"/>
    </row>
    <row r="25" spans="2:8" s="80" customFormat="1" ht="15" customHeight="1">
      <c r="B25" s="623"/>
      <c r="C25" s="631"/>
      <c r="D25" s="635"/>
      <c r="H25" s="202"/>
    </row>
    <row r="26" spans="2:8" s="80" customFormat="1" ht="7.5" customHeight="1">
      <c r="B26" s="244"/>
      <c r="C26" s="136"/>
      <c r="D26" s="136"/>
      <c r="H26" s="202"/>
    </row>
    <row r="27" spans="2:8" s="65" customFormat="1" ht="17.25" customHeight="1">
      <c r="B27" s="437" t="s">
        <v>186</v>
      </c>
      <c r="C27" s="487"/>
      <c r="D27" s="437"/>
      <c r="H27" s="206"/>
    </row>
    <row r="28" spans="2:8" s="65" customFormat="1" ht="17.25" customHeight="1">
      <c r="B28" s="437" t="s">
        <v>187</v>
      </c>
      <c r="C28" s="487"/>
      <c r="D28" s="437"/>
      <c r="H28" s="206"/>
    </row>
    <row r="29" spans="3:4" ht="12.75">
      <c r="C29" s="239"/>
      <c r="D29" s="239"/>
    </row>
    <row r="30" ht="12.75">
      <c r="C30" s="284"/>
    </row>
    <row r="32" spans="3:4" ht="12.75">
      <c r="C32" s="129"/>
      <c r="D32" s="129"/>
    </row>
    <row r="33" spans="2:8" s="133" customFormat="1" ht="18">
      <c r="B33" s="127" t="s">
        <v>117</v>
      </c>
      <c r="C33" s="127"/>
      <c r="D33" s="127"/>
      <c r="H33" s="214"/>
    </row>
    <row r="34" spans="2:8" s="133" customFormat="1" ht="18">
      <c r="B34" s="309" t="s">
        <v>133</v>
      </c>
      <c r="C34" s="309"/>
      <c r="D34" s="309"/>
      <c r="H34" s="214"/>
    </row>
    <row r="35" spans="2:8" s="133" customFormat="1" ht="18">
      <c r="B35" s="309" t="s">
        <v>134</v>
      </c>
      <c r="C35" s="309"/>
      <c r="D35" s="309"/>
      <c r="H35" s="214"/>
    </row>
    <row r="36" spans="2:8" s="133" customFormat="1" ht="18">
      <c r="B36" s="333" t="s">
        <v>1</v>
      </c>
      <c r="C36" s="181"/>
      <c r="D36" s="181"/>
      <c r="H36" s="214"/>
    </row>
    <row r="37" spans="2:8" s="133" customFormat="1" ht="18">
      <c r="B37" s="131" t="str">
        <f>+B9</f>
        <v>Al 31 de marzo de 2024</v>
      </c>
      <c r="C37" s="131"/>
      <c r="D37" s="246"/>
      <c r="H37" s="214"/>
    </row>
    <row r="38" spans="2:4" ht="9.75" customHeight="1">
      <c r="B38" s="627"/>
      <c r="C38" s="627"/>
      <c r="D38" s="627"/>
    </row>
    <row r="39" spans="2:4" ht="16.5" customHeight="1">
      <c r="B39" s="613" t="s">
        <v>147</v>
      </c>
      <c r="C39" s="609" t="s">
        <v>85</v>
      </c>
      <c r="D39" s="609" t="s">
        <v>161</v>
      </c>
    </row>
    <row r="40" spans="2:8" s="80" customFormat="1" ht="16.5" customHeight="1">
      <c r="B40" s="614"/>
      <c r="C40" s="610"/>
      <c r="D40" s="610"/>
      <c r="H40" s="202"/>
    </row>
    <row r="41" spans="2:8" s="80" customFormat="1" ht="9.75" customHeight="1">
      <c r="B41" s="247"/>
      <c r="C41" s="253"/>
      <c r="D41" s="137"/>
      <c r="H41" s="202"/>
    </row>
    <row r="42" spans="2:8" s="65" customFormat="1" ht="16.5" customHeight="1">
      <c r="B42" s="352" t="s">
        <v>0</v>
      </c>
      <c r="C42" s="368">
        <f>SUM(C43:C44)</f>
        <v>406204.76856</v>
      </c>
      <c r="D42" s="453">
        <f>SUM(D43:D44)</f>
        <v>1511487.94381176</v>
      </c>
      <c r="E42" s="213"/>
      <c r="H42" s="206"/>
    </row>
    <row r="43" spans="2:8" s="65" customFormat="1" ht="16.5" customHeight="1">
      <c r="B43" s="69" t="s">
        <v>24</v>
      </c>
      <c r="C43" s="369">
        <v>302737.95856</v>
      </c>
      <c r="D43" s="452">
        <f>ROUND(+C43*$E$9,8)</f>
        <v>1126487.94380176</v>
      </c>
      <c r="E43" s="213"/>
      <c r="F43" s="351"/>
      <c r="H43" s="206"/>
    </row>
    <row r="44" spans="2:8" s="65" customFormat="1" ht="16.5" customHeight="1">
      <c r="B44" s="69" t="s">
        <v>25</v>
      </c>
      <c r="C44" s="369">
        <v>103466.81</v>
      </c>
      <c r="D44" s="452">
        <f>ROUND(+C44*$E$9,8)</f>
        <v>385000.00001</v>
      </c>
      <c r="E44" s="213"/>
      <c r="F44" s="351"/>
      <c r="H44" s="206"/>
    </row>
    <row r="45" spans="2:8" s="65" customFormat="1" ht="12" customHeight="1">
      <c r="B45" s="69"/>
      <c r="C45" s="369"/>
      <c r="D45" s="452"/>
      <c r="E45" s="213"/>
      <c r="H45" s="206"/>
    </row>
    <row r="46" spans="2:8" s="65" customFormat="1" ht="16.5" customHeight="1">
      <c r="B46" s="352" t="s">
        <v>156</v>
      </c>
      <c r="C46" s="368">
        <f>+C47</f>
        <v>548601.74553</v>
      </c>
      <c r="D46" s="453">
        <f>+D47</f>
        <v>2041347.09511713</v>
      </c>
      <c r="E46" s="215"/>
      <c r="F46" s="107"/>
      <c r="H46" s="206"/>
    </row>
    <row r="47" spans="2:8" s="65" customFormat="1" ht="16.5" customHeight="1">
      <c r="B47" s="69" t="s">
        <v>24</v>
      </c>
      <c r="C47" s="369">
        <v>548601.74553</v>
      </c>
      <c r="D47" s="452">
        <f>ROUND(+C47*$E$9,8)</f>
        <v>2041347.09511713</v>
      </c>
      <c r="E47" s="215"/>
      <c r="F47" s="343"/>
      <c r="H47" s="206"/>
    </row>
    <row r="48" spans="2:8" s="65" customFormat="1" ht="9.75" customHeight="1">
      <c r="B48" s="68"/>
      <c r="C48" s="376"/>
      <c r="D48" s="451"/>
      <c r="H48" s="206"/>
    </row>
    <row r="49" spans="2:8" s="65" customFormat="1" ht="15" customHeight="1">
      <c r="B49" s="622" t="s">
        <v>60</v>
      </c>
      <c r="C49" s="617">
        <f>+C42+C46</f>
        <v>954806.51409</v>
      </c>
      <c r="D49" s="634">
        <f>+D42+D46</f>
        <v>3552835.03892889</v>
      </c>
      <c r="H49" s="206"/>
    </row>
    <row r="50" spans="2:8" s="80" customFormat="1" ht="15" customHeight="1">
      <c r="B50" s="623"/>
      <c r="C50" s="618"/>
      <c r="D50" s="635"/>
      <c r="H50" s="202"/>
    </row>
    <row r="51" ht="4.5" customHeight="1"/>
    <row r="52" spans="3:4" ht="12.75">
      <c r="C52" s="419"/>
      <c r="D52" s="239"/>
    </row>
    <row r="53" ht="12.75">
      <c r="C53" s="165"/>
    </row>
    <row r="56" ht="12.75">
      <c r="C56" s="165"/>
    </row>
  </sheetData>
  <sheetProtection/>
  <mergeCells count="14">
    <mergeCell ref="B49:B50"/>
    <mergeCell ref="C49:C50"/>
    <mergeCell ref="D49:D50"/>
    <mergeCell ref="B39:B40"/>
    <mergeCell ref="C11:C12"/>
    <mergeCell ref="B24:B25"/>
    <mergeCell ref="C39:C40"/>
    <mergeCell ref="D39:D40"/>
    <mergeCell ref="B10:D10"/>
    <mergeCell ref="C24:C25"/>
    <mergeCell ref="D11:D12"/>
    <mergeCell ref="B11:B12"/>
    <mergeCell ref="B38:D38"/>
    <mergeCell ref="D24:D25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2019-02-14T17:44:36Z</cp:lastPrinted>
  <dcterms:created xsi:type="dcterms:W3CDTF">2010-09-21T14:57:59Z</dcterms:created>
  <dcterms:modified xsi:type="dcterms:W3CDTF">2024-05-09T21:46:36Z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