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1600" windowHeight="9735" activeTab="0"/>
  </bookViews>
  <sheets>
    <sheet name="Indice" sheetId="1" r:id="rId1"/>
    <sheet name="Portada" sheetId="2" r:id="rId2"/>
    <sheet name="Resumen" sheetId="3" r:id="rId3"/>
    <sheet name="Resumen-Gráficos" sheetId="4" r:id="rId4"/>
    <sheet name="DGRGL-C1" sheetId="5" r:id="rId5"/>
    <sheet name="DGRGL-C2" sheetId="6" r:id="rId6"/>
    <sheet name="DGRGL-C3" sheetId="7" r:id="rId7"/>
    <sheet name="DGRGL-C4" sheetId="8" r:id="rId8"/>
    <sheet name="DGRGL-C5" sheetId="9" r:id="rId9"/>
    <sheet name="DGRGL-C6" sheetId="10" r:id="rId10"/>
    <sheet name="DGRGL-C7" sheetId="11" r:id="rId11"/>
  </sheets>
  <definedNames>
    <definedName name="_xlnm.Print_Area" localSheetId="4">'DGRGL-C1'!$B$1:$D$52</definedName>
    <definedName name="_xlnm.Print_Area" localSheetId="5">'DGRGL-C2'!$B$1:$E$26</definedName>
    <definedName name="_xlnm.Print_Area" localSheetId="6">'DGRGL-C3'!$B$1:$E$50</definedName>
    <definedName name="_xlnm.Print_Area" localSheetId="7">'DGRGL-C4'!$B$1:$E$66</definedName>
    <definedName name="_xlnm.Print_Area" localSheetId="8">'DGRGL-C5'!$B$1:$D$120</definedName>
    <definedName name="_xlnm.Print_Area" localSheetId="9">'DGRGL-C6'!$A$1:$D$274</definedName>
    <definedName name="_xlnm.Print_Area" localSheetId="10">'DGRGL-C7'!$B$5:$N$41</definedName>
    <definedName name="_xlnm.Print_Area" localSheetId="1">'Portada'!$B$1:$H$36</definedName>
    <definedName name="_xlnm.Print_Area" localSheetId="2">'Resumen'!$G$18:$J$32</definedName>
    <definedName name="_xlnm.Print_Area" localSheetId="3">'Resumen-Gráficos'!$A$1:$O$53</definedName>
    <definedName name="Nueox">#REF!</definedName>
    <definedName name="nuevo">'DGRGL-C7'!$B$52</definedName>
    <definedName name="_xlnm.Print_Titles" localSheetId="8">'DGRGL-C5'!$1:$3</definedName>
  </definedNames>
  <calcPr fullCalcOnLoad="1"/>
</workbook>
</file>

<file path=xl/sharedStrings.xml><?xml version="1.0" encoding="utf-8"?>
<sst xmlns="http://schemas.openxmlformats.org/spreadsheetml/2006/main" count="651" uniqueCount="427">
  <si>
    <t>Contenido</t>
  </si>
  <si>
    <t>:</t>
  </si>
  <si>
    <t>Fecha de corte</t>
  </si>
  <si>
    <t>Mensual</t>
  </si>
  <si>
    <t>Fuente</t>
  </si>
  <si>
    <t>Elaboración</t>
  </si>
  <si>
    <t>Ubicación virtual</t>
  </si>
  <si>
    <t>Fecha revisión</t>
  </si>
  <si>
    <t>Plazo</t>
  </si>
  <si>
    <t>Periodicidad</t>
  </si>
  <si>
    <t>Valoración</t>
  </si>
  <si>
    <t>Tipo de cambio</t>
  </si>
  <si>
    <t>http://www.mef.gob.pe/index.php?option=com_content&amp;view=article&amp;id=2031&amp;Itemid=101432&amp;lang=es</t>
  </si>
  <si>
    <t>US dólares</t>
  </si>
  <si>
    <t>TOTAL</t>
  </si>
  <si>
    <t>TIPO DE DEUDA</t>
  </si>
  <si>
    <t xml:space="preserve">     TOTAL </t>
  </si>
  <si>
    <t>Cuadro 1</t>
  </si>
  <si>
    <t>Cuadro 2</t>
  </si>
  <si>
    <t>Cuadro 3</t>
  </si>
  <si>
    <t>Cuadro 4</t>
  </si>
  <si>
    <t>Cuadro 5</t>
  </si>
  <si>
    <t>Cuadro 6</t>
  </si>
  <si>
    <t>Moneda</t>
  </si>
  <si>
    <t>Tipo Deuda</t>
  </si>
  <si>
    <t>Tipo Instrumento</t>
  </si>
  <si>
    <t>%</t>
  </si>
  <si>
    <t>Externa</t>
  </si>
  <si>
    <t>Bonos</t>
  </si>
  <si>
    <t>Interna</t>
  </si>
  <si>
    <t>Créditos</t>
  </si>
  <si>
    <t>Total</t>
  </si>
  <si>
    <t>Sector Institucional</t>
  </si>
  <si>
    <t>Fuente de Financiamiento</t>
  </si>
  <si>
    <t>US Dólares</t>
  </si>
  <si>
    <t>Yenes</t>
  </si>
  <si>
    <t>Euros</t>
  </si>
  <si>
    <t>Moneda Extranjera</t>
  </si>
  <si>
    <t>Moneda Local</t>
  </si>
  <si>
    <t>TIPO DE INSTRUMENTO</t>
  </si>
  <si>
    <t>SECTOR INSTITUCIONAL</t>
  </si>
  <si>
    <t>COMPOSICIÓN POR MONEDA</t>
  </si>
  <si>
    <t>FUENTE DE FINANCIAMIENTO</t>
  </si>
  <si>
    <t>(Millones de US dólares)</t>
  </si>
  <si>
    <t>ACREEDOR</t>
  </si>
  <si>
    <t>EVOLUCIÓN DE LA DEUDA DE GR-GL</t>
  </si>
  <si>
    <t>Corto Plazo</t>
  </si>
  <si>
    <t>Mediano y Largo Plazo</t>
  </si>
  <si>
    <t>PLAZO</t>
  </si>
  <si>
    <t xml:space="preserve"> CORTO PLAZO</t>
  </si>
  <si>
    <t xml:space="preserve"> MEDIANO Y LARGO PLAZO </t>
  </si>
  <si>
    <t>Organismos Internacionales</t>
  </si>
  <si>
    <t>PORTADA</t>
  </si>
  <si>
    <t xml:space="preserve">   Miles de US dólares</t>
  </si>
  <si>
    <t>POR TIPO DE INSTRUMENTO Y SECTOR INSTITUCIONAL</t>
  </si>
  <si>
    <t>I. MONEDA LOCAL</t>
  </si>
  <si>
    <t>II. MONEDA EXTRANJERA</t>
  </si>
  <si>
    <t xml:space="preserve">TOTAL </t>
  </si>
  <si>
    <r>
      <t xml:space="preserve">     MEF   </t>
    </r>
    <r>
      <rPr>
        <sz val="8"/>
        <rFont val="Arial"/>
        <family val="2"/>
      </rPr>
      <t xml:space="preserve">1/ </t>
    </r>
    <r>
      <rPr>
        <vertAlign val="superscript"/>
        <sz val="8"/>
        <rFont val="Arial"/>
        <family val="2"/>
      </rPr>
      <t xml:space="preserve"> </t>
    </r>
    <r>
      <rPr>
        <sz val="11"/>
        <rFont val="Arial"/>
        <family val="2"/>
      </rPr>
      <t>(Traspaso)</t>
    </r>
  </si>
  <si>
    <t>Nota</t>
  </si>
  <si>
    <t>En algunos cuadros el total no coincide con la suma de los componentes, debido al redondeo de las cifras.</t>
  </si>
  <si>
    <t>Sistema Integrado de Gestión y Administración de la Deuda-SIAD</t>
  </si>
  <si>
    <t xml:space="preserve">Evolución de la Deuda </t>
  </si>
  <si>
    <t>Sistema Financiero Nacional</t>
  </si>
  <si>
    <t>DE MEDIANO Y LARGO PLAZO</t>
  </si>
  <si>
    <t xml:space="preserve"> DEUDA EXTERNA   </t>
  </si>
  <si>
    <t>DE CORTO PLAZO</t>
  </si>
  <si>
    <r>
      <t xml:space="preserve"> BONOS </t>
    </r>
    <r>
      <rPr>
        <sz val="8"/>
        <rFont val="Arial"/>
        <family val="2"/>
      </rPr>
      <t xml:space="preserve"> </t>
    </r>
  </si>
  <si>
    <r>
      <t xml:space="preserve"> CRÉDITOS  </t>
    </r>
    <r>
      <rPr>
        <sz val="8"/>
        <rFont val="Arial"/>
        <family val="2"/>
      </rPr>
      <t xml:space="preserve"> </t>
    </r>
  </si>
  <si>
    <t xml:space="preserve"> I.  GOBIERNO NACIONAL</t>
  </si>
  <si>
    <t xml:space="preserve">  Gobierno Regional</t>
  </si>
  <si>
    <t>Acreedor</t>
  </si>
  <si>
    <t>Banca Estatal, Banca Comercial y FONAVI.</t>
  </si>
  <si>
    <t>La información se presenta a valor nominal.</t>
  </si>
  <si>
    <t xml:space="preserve"> DEUDA INTERNA   </t>
  </si>
  <si>
    <t>(Miles de US dólares)</t>
  </si>
  <si>
    <t>Amt.</t>
  </si>
  <si>
    <t>Int.</t>
  </si>
  <si>
    <t>DE CORTO Y MEDIANO Y LARGO PLAZO</t>
  </si>
  <si>
    <t>POR PLAZO Y SECTOR INSTITUCIONAL</t>
  </si>
  <si>
    <t>I.  GOBIERNOS REGIONALES</t>
  </si>
  <si>
    <t>II.  GOBIERNOS LOCALES</t>
  </si>
  <si>
    <t xml:space="preserve">     Otras Fuentes</t>
  </si>
  <si>
    <t xml:space="preserve">       Caja Metropolitana de Lima</t>
  </si>
  <si>
    <t>POR SECTOR INSTITUCIONAL Y ACREEDOR</t>
  </si>
  <si>
    <t>Gobiernos Locales</t>
  </si>
  <si>
    <t>Gobiernos Regionales</t>
  </si>
  <si>
    <t xml:space="preserve">Gobiernos Regionales </t>
  </si>
  <si>
    <t xml:space="preserve">Gobiernos Regionales  </t>
  </si>
  <si>
    <t xml:space="preserve">Gobiernos Regionales   </t>
  </si>
  <si>
    <t xml:space="preserve">Gobiernos Locales   </t>
  </si>
  <si>
    <t>Deuda Externa</t>
  </si>
  <si>
    <t>Deuda Interna</t>
  </si>
  <si>
    <t>Período</t>
  </si>
  <si>
    <t>Otros</t>
  </si>
  <si>
    <t>Sector Institucional / Deudor</t>
  </si>
  <si>
    <t>Gobierno Regional de Cusco</t>
  </si>
  <si>
    <t>Sector institucional / Deudor</t>
  </si>
  <si>
    <t>Cuadro 7</t>
  </si>
  <si>
    <t>POR SECTOR INSTITUCIONAL Y DEUDOR</t>
  </si>
  <si>
    <t>POR TIPO DE MONEDA Y SECTOR INSTITUCIONAL</t>
  </si>
  <si>
    <t xml:space="preserve">  Sector Institucional / Acreedor</t>
  </si>
  <si>
    <t>Cuadro 1A</t>
  </si>
  <si>
    <t>Cuadro 3A</t>
  </si>
  <si>
    <t>Cuadro 4A</t>
  </si>
  <si>
    <t>Cuadro 5A</t>
  </si>
  <si>
    <t>Cuadro 6A</t>
  </si>
  <si>
    <t>Cuadro 7A</t>
  </si>
  <si>
    <r>
      <t xml:space="preserve">  DEUDA INTERNA   </t>
    </r>
    <r>
      <rPr>
        <b/>
        <sz val="8"/>
        <rFont val="Arial"/>
        <family val="2"/>
      </rPr>
      <t>2/</t>
    </r>
  </si>
  <si>
    <r>
      <t xml:space="preserve">I. Gobiernos Regionales   </t>
    </r>
    <r>
      <rPr>
        <b/>
        <sz val="8"/>
        <rFont val="Arial"/>
        <family val="2"/>
      </rPr>
      <t>1/</t>
    </r>
  </si>
  <si>
    <r>
      <t xml:space="preserve">II. Gobiernos Locales   </t>
    </r>
    <r>
      <rPr>
        <b/>
        <sz val="8"/>
        <rFont val="Arial"/>
        <family val="2"/>
      </rPr>
      <t>2/</t>
    </r>
  </si>
  <si>
    <r>
      <t xml:space="preserve">Nota: </t>
    </r>
    <r>
      <rPr>
        <sz val="10"/>
        <rFont val="Arial"/>
        <family val="2"/>
      </rPr>
      <t>Sector Institucional comprende: Gobierno Central, Gobiernos Locales y Gobiernos Regionales.</t>
    </r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</si>
  <si>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Préstamos vigentes.</t>
    </r>
  </si>
  <si>
    <r>
      <t xml:space="preserve">II. Gobiernos Locales   </t>
    </r>
    <r>
      <rPr>
        <b/>
        <sz val="8"/>
        <rFont val="Arial"/>
        <family val="2"/>
      </rPr>
      <t>1/</t>
    </r>
  </si>
  <si>
    <r>
      <rPr>
        <b/>
        <sz val="10"/>
        <rFont val="Arial"/>
        <family val="2"/>
      </rPr>
      <t xml:space="preserve">Deuda Externa; </t>
    </r>
    <r>
      <rPr>
        <sz val="10"/>
        <rFont val="Arial"/>
        <family val="2"/>
      </rPr>
      <t>considera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la deuda directa de los Gobiernos Regionales y Gobienos Locales que cuenta con la garantía del Gobierno Nacional. Se considera deuda directa cuando el deudor contractual es el Gobierno Regional o el Gobierno Local quienes sólo pueden contratar deuda con la garantía del Gobierno Nacional.     </t>
    </r>
  </si>
  <si>
    <r>
      <rPr>
        <b/>
        <sz val="10"/>
        <rFont val="Arial"/>
        <family val="2"/>
      </rPr>
      <t>Deuda Interna;</t>
    </r>
    <r>
      <rPr>
        <sz val="10"/>
        <rFont val="Arial"/>
        <family val="2"/>
      </rPr>
      <t xml:space="preserve"> comprende la deuda total de los Gobiernos Regionales y Gobiernos Locales: deuda directa con y sin la garantía del Gobierno NacionaI. Asimismo, incluye los créditos de deuda externa e interna que el Gobierno Nacional ha contratado y trasladado a estos gobiernos, a través de Convenios de Traspaso de Recursos, donde se establece que el servicio de la deuda está a cargo de los mencionados gobiernos. También considera las operaciones de endeudamiento generadas por la entrega de Certificados de Inversión Pública Regional y Local - CIPRL, y por préstamos de FONAVI. </t>
    </r>
  </si>
  <si>
    <r>
      <t xml:space="preserve">I. MONEDA LOCAL   </t>
    </r>
    <r>
      <rPr>
        <b/>
        <sz val="8"/>
        <rFont val="Arial"/>
        <family val="2"/>
      </rPr>
      <t>1/</t>
    </r>
  </si>
  <si>
    <t xml:space="preserve">       Cooperativa</t>
  </si>
  <si>
    <t>G.R</t>
  </si>
  <si>
    <t xml:space="preserve">I. Gobiernos Regionales   </t>
  </si>
  <si>
    <t>Gobierno Regional de Moquegua</t>
  </si>
  <si>
    <t>Plazo / Sector Institucional</t>
  </si>
  <si>
    <t>POR TIPO DE DEUDA Y SECTOR INSTITUCIONAL</t>
  </si>
  <si>
    <t>SERVICIO PROYECTADO POR TIPO DE DEUDA</t>
  </si>
  <si>
    <t xml:space="preserve">       Cooperativa Santo Cristo de Bagazán</t>
  </si>
  <si>
    <t>Tipo de Deuda /                           Sector Institucional</t>
  </si>
  <si>
    <t>Tipo de Instrumento /         Sector Institucional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</si>
  <si>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</si>
  <si>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</si>
  <si>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</si>
  <si>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</si>
  <si>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(Miles de soles)</t>
  </si>
  <si>
    <t>Cuadro en soles</t>
  </si>
  <si>
    <t>Tipo de cambio venta bancario al final del mes de diciembre, según la Superintendencia de Banca y Seguros- SBS</t>
  </si>
  <si>
    <r>
      <t xml:space="preserve"> DEUDA EXTERNA   </t>
    </r>
    <r>
      <rPr>
        <b/>
        <sz val="8"/>
        <rFont val="Arial"/>
        <family val="2"/>
      </rPr>
      <t>1/</t>
    </r>
  </si>
  <si>
    <t xml:space="preserve"> 1/  Deuda directa de la Municipalidad Metropolitana de Lima, con la garantía del Gobierno Nacional </t>
  </si>
  <si>
    <t xml:space="preserve"> 2/  Incluye deuda externa contratada por el Gobierno Nacional y trasladada a los Gobiernos Regionales </t>
  </si>
  <si>
    <t xml:space="preserve">      y Gobiernos Locales con Convenios de Traspasos de Recursos.</t>
  </si>
  <si>
    <t xml:space="preserve">      Regionales y Gobiernos Locales con Convenios Traspasos de Recursos.</t>
  </si>
  <si>
    <t xml:space="preserve"> 1/  Incluye deuda con Convenios de Traspasos de Recursos.</t>
  </si>
  <si>
    <t xml:space="preserve">MEF   </t>
  </si>
  <si>
    <r>
      <t xml:space="preserve">MEF (CIPRL)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2/</t>
    </r>
  </si>
  <si>
    <r>
      <t xml:space="preserve">MEF (Traspaso)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1/</t>
    </r>
  </si>
  <si>
    <t>Banca Comercial</t>
  </si>
  <si>
    <t>BID</t>
  </si>
  <si>
    <t>BIRF</t>
  </si>
  <si>
    <t>Banca Estatal</t>
  </si>
  <si>
    <t>Banco de la Nación</t>
  </si>
  <si>
    <t>Banco Agropecuario</t>
  </si>
  <si>
    <r>
      <t xml:space="preserve">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2/</t>
    </r>
  </si>
  <si>
    <t xml:space="preserve"> 1/  Comprende la deuda con Convenio de Traspasos de Recursos.</t>
  </si>
  <si>
    <t xml:space="preserve"> 2/  Deuda derivada de la entrega de Certificados de  Inversión Pública Regional y Local (CIPRL).</t>
  </si>
  <si>
    <t>Banco de Comercio</t>
  </si>
  <si>
    <t>Otras Fuentes</t>
  </si>
  <si>
    <t xml:space="preserve"> 1/  Comprende, convenios de traspasos de recursos entre el MEF y cada Gobierno Regional. Además deuda derivada</t>
  </si>
  <si>
    <t xml:space="preserve">       de la entrega de Certificados de Inversión Pública Regional y Local (CIPRL).</t>
  </si>
  <si>
    <t xml:space="preserve"> 2/  Comprende deuda con garantía y sin garantía de Gobierno Nacional y Convenio de Traspaso de  Recursos. Además</t>
  </si>
  <si>
    <t xml:space="preserve">      deuda derivada de la entrega de Certificados de Inversión Pública Regional y Local (CIPRL). Los Gobiernos Locales</t>
  </si>
  <si>
    <t xml:space="preserve"> 1/  Incluye deuda derivada de la entrega de Certificados de  Inversión Pública Regional y Local (CIPRL).</t>
  </si>
  <si>
    <t>PROYECCIÓN DEL SERVICIO ANUAL - POR TIPO DE DEUDA</t>
  </si>
  <si>
    <r>
      <t xml:space="preserve">MEF </t>
    </r>
    <r>
      <rPr>
        <sz val="8"/>
        <rFont val="Arial"/>
        <family val="2"/>
      </rPr>
      <t xml:space="preserve"> 1/</t>
    </r>
  </si>
  <si>
    <t>Banco Interamericano de Desarrollo (BID)</t>
  </si>
  <si>
    <t xml:space="preserve"> 1/ Comprende: Convenios de Traspasos de Recursos, Certificado de  Inversión Pública Regional y Local  </t>
  </si>
  <si>
    <t xml:space="preserve">     (CIPRL) y deuda a FONAVI (PRINCIPAL).</t>
  </si>
  <si>
    <t xml:space="preserve"> 1/ Incluye Traspaso de Recursos, FONAVI, CIPRL</t>
  </si>
  <si>
    <t>Municipalidad Provincial de Lima</t>
  </si>
  <si>
    <t>Municipalidad Distrital de San Luis</t>
  </si>
  <si>
    <t>CUADROS RESUMEN</t>
  </si>
  <si>
    <t>RESUMEN GRÁFICOS</t>
  </si>
  <si>
    <t>Dólar Estadounidense (US$)</t>
  </si>
  <si>
    <t>Unión Económica y Monetaria Europea (EURO)</t>
  </si>
  <si>
    <t xml:space="preserve">           Tipo de Moneda /</t>
  </si>
  <si>
    <t xml:space="preserve">                       Sector Institucional</t>
  </si>
  <si>
    <t>Municipalidad Distrital de Santiago</t>
  </si>
  <si>
    <t>Gobierno Regional de San Martin</t>
  </si>
  <si>
    <t>Municipalidad Provincial de Sullana</t>
  </si>
  <si>
    <t>Municipalidad Provincial de Trujillo</t>
  </si>
  <si>
    <t>Municipalidad Distrital de Yarinacocha</t>
  </si>
  <si>
    <t>Municipalidad Provincial de Maynas - Iquitos</t>
  </si>
  <si>
    <t>Municipalidad Distrital de Huayllay</t>
  </si>
  <si>
    <t>Municipalidad Distrital de Ticlacayan</t>
  </si>
  <si>
    <t>Municipalidad Distrital de Jacobo Hunter</t>
  </si>
  <si>
    <t>Municipalidad Distrital de Nuevo Imperial</t>
  </si>
  <si>
    <t>Municipalidad Provincial de Tacna</t>
  </si>
  <si>
    <t>Municipalidad Distrital de Bellavista</t>
  </si>
  <si>
    <t>Municipalidad Distrital de Sanagoran</t>
  </si>
  <si>
    <t>Municipalidad Provincial de Ucayali - Contamana</t>
  </si>
  <si>
    <t>Municipalidad Distrital de Orurillo</t>
  </si>
  <si>
    <t>Municipalidad Provincial de Tarma</t>
  </si>
  <si>
    <t>Municipalidad Distrital de Pacllon</t>
  </si>
  <si>
    <t>Municipalidad Provincial de Huancayo</t>
  </si>
  <si>
    <t>Municipalidad Distrital de Alto Selva Alegre</t>
  </si>
  <si>
    <t>Municipalidad Distrital de Lacabamba</t>
  </si>
  <si>
    <r>
      <t xml:space="preserve">MEF (Pago de Prestamos)   </t>
    </r>
  </si>
  <si>
    <t>Municipalidad Distrital de Campoverde</t>
  </si>
  <si>
    <t>Municipalidad Distrital de Huariaca</t>
  </si>
  <si>
    <t>Municipalidad Distrital de Vargas Guerra</t>
  </si>
  <si>
    <t>Municipalidad Distrital de Lurigancho (Chosica)</t>
  </si>
  <si>
    <t>Banco Pichincha</t>
  </si>
  <si>
    <t>Municipalidad Distrital de Chancay</t>
  </si>
  <si>
    <t>Gobierno Regional de Ancash</t>
  </si>
  <si>
    <t>Municipalidad Distrital de Ticllos</t>
  </si>
  <si>
    <t>Municipalidad Distrital de Pias</t>
  </si>
  <si>
    <t>Municipalidad Distrital de Chilcaymarca</t>
  </si>
  <si>
    <t>Municipalidad Distrital de San Juan</t>
  </si>
  <si>
    <t>Gobierno Regional de Arequipa</t>
  </si>
  <si>
    <t>Gobierno Regional de Cajamarca</t>
  </si>
  <si>
    <t>Gobierno Regional de Loreto</t>
  </si>
  <si>
    <t>Dirección de Administración de Deuda, Contabilidad y Estadística -  Equipo de Trabajo de Estadística</t>
  </si>
  <si>
    <t>Dirección General del Tesoro Público</t>
  </si>
  <si>
    <t>Banco Internacional del Perú</t>
  </si>
  <si>
    <t>Gobierno Regional de Ica</t>
  </si>
  <si>
    <t>Municipalidad Distrital de Cayma</t>
  </si>
  <si>
    <t>Gobierno Regional de Ucayali</t>
  </si>
  <si>
    <t>Municipalidad Distrital de Sapallanga</t>
  </si>
  <si>
    <r>
      <t xml:space="preserve">Gobierno Nacional   </t>
    </r>
    <r>
      <rPr>
        <b/>
        <sz val="8"/>
        <rFont val="Arial"/>
        <family val="2"/>
      </rPr>
      <t>3/</t>
    </r>
  </si>
  <si>
    <t xml:space="preserve"> 3/  Se consideran las Universidades Públicas.</t>
  </si>
  <si>
    <r>
      <t xml:space="preserve">Gobierno Nacional   </t>
    </r>
    <r>
      <rPr>
        <b/>
        <sz val="8"/>
        <rFont val="Arial"/>
        <family val="2"/>
      </rPr>
      <t>1/</t>
    </r>
  </si>
  <si>
    <t xml:space="preserve"> 1/  Se consideran las Universidades Públicas.</t>
  </si>
  <si>
    <r>
      <t xml:space="preserve">Gobierno Nacional   </t>
    </r>
    <r>
      <rPr>
        <b/>
        <sz val="8"/>
        <rFont val="Arial"/>
        <family val="2"/>
      </rPr>
      <t>2/</t>
    </r>
  </si>
  <si>
    <t xml:space="preserve"> 2/  Se consideran las Universidades Públicas.</t>
  </si>
  <si>
    <r>
      <t xml:space="preserve">Gobiernos Nacional   </t>
    </r>
    <r>
      <rPr>
        <b/>
        <sz val="8"/>
        <rFont val="Arial"/>
        <family val="2"/>
      </rPr>
      <t>2/</t>
    </r>
  </si>
  <si>
    <r>
      <t xml:space="preserve">Gobiernos Regionales   </t>
    </r>
    <r>
      <rPr>
        <b/>
        <sz val="8"/>
        <rFont val="Arial"/>
        <family val="2"/>
      </rPr>
      <t>3/</t>
    </r>
  </si>
  <si>
    <t xml:space="preserve"> 3/  Deuda con Convenios de Traspasos de Recursos.</t>
  </si>
  <si>
    <t>III. GOBIERNO NACIONAL</t>
  </si>
  <si>
    <t>Universidades Públicas</t>
  </si>
  <si>
    <t>Gobierno Regional de Piura</t>
  </si>
  <si>
    <t>Gobierno Regional de La Libertad</t>
  </si>
  <si>
    <t>Gobierno Regional de Pasco</t>
  </si>
  <si>
    <t>Universidad Nacional de San Agustin</t>
  </si>
  <si>
    <r>
      <t xml:space="preserve">III. Gobierno Nacional   </t>
    </r>
    <r>
      <rPr>
        <b/>
        <sz val="8"/>
        <rFont val="Arial"/>
        <family val="2"/>
      </rPr>
      <t>3/</t>
    </r>
  </si>
  <si>
    <t xml:space="preserve"> 3/  Deuda derivada de la entrega de Certificados de Inversión Pública Regional y Local (CIPRL).</t>
  </si>
  <si>
    <r>
      <t xml:space="preserve">III. Gobierno Nacional   </t>
    </r>
    <r>
      <rPr>
        <b/>
        <sz val="8"/>
        <rFont val="Arial"/>
        <family val="2"/>
      </rPr>
      <t>1/ 2/</t>
    </r>
  </si>
  <si>
    <r>
      <t xml:space="preserve">Gobiernos Nacional   </t>
    </r>
    <r>
      <rPr>
        <sz val="8"/>
        <rFont val="Arial"/>
        <family val="2"/>
      </rPr>
      <t>1/</t>
    </r>
  </si>
  <si>
    <t>Gobierno Regional de Puno</t>
  </si>
  <si>
    <t>Municipalidad Distrital de Yauli</t>
  </si>
  <si>
    <t>Municipalidad Distrital de Santiago de Cao</t>
  </si>
  <si>
    <t>DEUDA DE LOS GOBIERNOS REGIONALES, GOBIERNOS LOCALES Y OTROS</t>
  </si>
  <si>
    <t>Comprende el saldo de la deuda de los Gobiernos Regionales, Gobiernos Locales y Otros (Universidades Públicas).</t>
  </si>
  <si>
    <t>Sistema Integrado de Administración Financiera del Sector Público (SIAF-SP), en el cual los Gobiernos Regionales, Gobiernos Locales y Otros registran su información.</t>
  </si>
  <si>
    <r>
      <t xml:space="preserve">Gobierno Nacional   </t>
    </r>
    <r>
      <rPr>
        <sz val="8"/>
        <rFont val="Arial"/>
        <family val="2"/>
      </rPr>
      <t>1/</t>
    </r>
  </si>
  <si>
    <t xml:space="preserve"> 1/  Se incluyen las Universidades Públicas.</t>
  </si>
  <si>
    <t>DEUDA DE GOBIERNOS REGIONALES, GOBIERNOS LOCALES Y OTROS</t>
  </si>
  <si>
    <t>DEUDA GOBIERNOS REGIONALES, GOBIERNOS LOCALES Y OTROS</t>
  </si>
  <si>
    <t>Gobierno Regional del Callao</t>
  </si>
  <si>
    <t>Gobierno Regional de Junín</t>
  </si>
  <si>
    <t>Tipo de Instrumento / Sector Institucional</t>
  </si>
  <si>
    <t>Tipo de Moneda /</t>
  </si>
  <si>
    <t>BBVA, Scotia y BCP Sindicado</t>
  </si>
  <si>
    <t>Municipalidad Provincial de Coronel Portillo</t>
  </si>
  <si>
    <t>BBVA Banco Continental</t>
  </si>
  <si>
    <t>Municipalidad Provincial de Cajamarca</t>
  </si>
  <si>
    <t>Municipalidad Distrital de La Unión</t>
  </si>
  <si>
    <t>Municipalidad Distrital de Pueblo Nuevo</t>
  </si>
  <si>
    <t>Banco Scotiabank</t>
  </si>
  <si>
    <t>BBVA Banco de Continental</t>
  </si>
  <si>
    <t>Municipalidad Distrital de los Baños del Inca</t>
  </si>
  <si>
    <t>Municipalidad Provincial de Acobamba</t>
  </si>
  <si>
    <t>Municipalidad Distrital de Coronel Gregorio Albarracín Lanchipa</t>
  </si>
  <si>
    <t>Municipalidad Distrital de Belén</t>
  </si>
  <si>
    <t>Municipalidad Distrital de Grocio Prado</t>
  </si>
  <si>
    <t>Gobierno Regional de Lima Provincias</t>
  </si>
  <si>
    <t>Municipalidad Distrital de San Juan Bautista</t>
  </si>
  <si>
    <t>Municipalidad Distrital de Salas</t>
  </si>
  <si>
    <t>Municipalidad Distrital de Pacanga</t>
  </si>
  <si>
    <t>Universidad Nacional San Luis Gonzaga</t>
  </si>
  <si>
    <t>Municipalidad Distrital de Livitaca</t>
  </si>
  <si>
    <t>Municipalidad Distrital de San Pedro de Chana</t>
  </si>
  <si>
    <t>Municipalidad Distrital de Constitución</t>
  </si>
  <si>
    <t>Municipalidad Distrital de Cachachi</t>
  </si>
  <si>
    <t>Municipalidad Distrital de Cajacay</t>
  </si>
  <si>
    <t>Municipalidad Distrital de Saylla</t>
  </si>
  <si>
    <t>Municipalidad Distrital de Chao</t>
  </si>
  <si>
    <t>Municipalidad Distrital de San Francisco de Asis de Yarusyacan</t>
  </si>
  <si>
    <t>Municipalidad Distrital de Ubinas</t>
  </si>
  <si>
    <t>Municipalidad Distrital de Cachicadan</t>
  </si>
  <si>
    <t>Municipalidad Distrital de Paucarpata</t>
  </si>
  <si>
    <t>Municipalidad Distrital de Ventanilla</t>
  </si>
  <si>
    <t>Municipalidad Distrital de Dean Valdivia</t>
  </si>
  <si>
    <t>Municipalidad Distrital de El Tambo</t>
  </si>
  <si>
    <t>Gobierno Regional de Huancavelica</t>
  </si>
  <si>
    <t>Municipalidad Distrital de Cotaruse</t>
  </si>
  <si>
    <t>Municipalidad Distrital de Villa Rica</t>
  </si>
  <si>
    <t>Municipalidad Distrital de Tumbaden</t>
  </si>
  <si>
    <t>Municipalidad Distrital de Lajas</t>
  </si>
  <si>
    <t>2022</t>
  </si>
  <si>
    <t>Municipalidad Distrital de Velille</t>
  </si>
  <si>
    <t>Municipalidad Provincial de Santa - Chimbote</t>
  </si>
  <si>
    <t>Municipalidad Distrital de Querecotillo</t>
  </si>
  <si>
    <t>Municipalidad Provincial de Paucartambo</t>
  </si>
  <si>
    <t>Municipalidad Distrital de la Joya</t>
  </si>
  <si>
    <t>Municipalidad Provincial de Ica</t>
  </si>
  <si>
    <t>Municipalidad Distrital de Pacocha</t>
  </si>
  <si>
    <t>Municipalidad Distrital de El Porvenir</t>
  </si>
  <si>
    <t>Municipalidad Provincial de Angaraes - Lircay</t>
  </si>
  <si>
    <t>Municipalidad Provincial de Huanuco</t>
  </si>
  <si>
    <t>Municipalidad Provincial de Huamanga</t>
  </si>
  <si>
    <t>Municipalidad Distrital de Punchana</t>
  </si>
  <si>
    <t>Municipalidad Distrital de Victor Larco Herrera</t>
  </si>
  <si>
    <t>Municipalidad Distrital de San Pablo</t>
  </si>
  <si>
    <t>Municipalidad Provincial de Tocache</t>
  </si>
  <si>
    <t>Municipalidad Distrital de Pucara</t>
  </si>
  <si>
    <t>Municipalidad Distrital de Pangoa</t>
  </si>
  <si>
    <t>Municipalidad Distrital de Tambo</t>
  </si>
  <si>
    <t>Municipalidad Provincial de Pataz - Tayabamba</t>
  </si>
  <si>
    <t>Municipalidad Provincial de Piura</t>
  </si>
  <si>
    <t>Municipalidad Provincial de San Marcos - Pedro Galvez</t>
  </si>
  <si>
    <t>Municipalidad Distrital de Tournavista</t>
  </si>
  <si>
    <t>Municipalidad Distrital de Morropon</t>
  </si>
  <si>
    <t>Municipalidad Distrital de Lonya Grande</t>
  </si>
  <si>
    <t>Municipalidad Distrital de Acostambo</t>
  </si>
  <si>
    <t>Municipalidad Provincial de Requena</t>
  </si>
  <si>
    <t>Municipalidad Distrital de Morcolla</t>
  </si>
  <si>
    <t>Municipalidad Provincial de Jaen</t>
  </si>
  <si>
    <t>Municipalidad Distrital de Catacaos</t>
  </si>
  <si>
    <t>Municipalidad Distrital de Mazamari</t>
  </si>
  <si>
    <t>Municipalidad Provincial de Bolivar</t>
  </si>
  <si>
    <t>Municipalidad Distrital de Umari</t>
  </si>
  <si>
    <t>Municipalidad Distrital de Santillana</t>
  </si>
  <si>
    <t>Municipalidad Distrital de Yuyapichis</t>
  </si>
  <si>
    <t>Municipalidad Distrital de José Luis Bustamante y Rivero</t>
  </si>
  <si>
    <t>Municipalidad Distrital de Huaura</t>
  </si>
  <si>
    <t>Municipalidad Distrital de Samegua</t>
  </si>
  <si>
    <t>Municipalidad Distrital de Layo</t>
  </si>
  <si>
    <t>Municipalidad Distrital de Santo Tomas</t>
  </si>
  <si>
    <t>Municipalidad Distrital de Choros</t>
  </si>
  <si>
    <t>Municipalidad Distrital de Lahuaytambo</t>
  </si>
  <si>
    <t>Municipalidad Provincial de Zarumilla</t>
  </si>
  <si>
    <t>Municipalidad Distrital de Caracoto</t>
  </si>
  <si>
    <t>Municipalidad Distrital de Sapillica</t>
  </si>
  <si>
    <t>Municipalidad Distrital de Padre Marquez</t>
  </si>
  <si>
    <t>Municipalidad Distrital de Paratia</t>
  </si>
  <si>
    <t>Municipalidad Provincial del Alto Amazonas - Yurimaguas</t>
  </si>
  <si>
    <t>Municipalidad Distrital de Pacucha</t>
  </si>
  <si>
    <t>Municipalidad Distrital de Sallique</t>
  </si>
  <si>
    <t>Municipalidad Distrital de San José del Alto</t>
  </si>
  <si>
    <t>Municipalidad Distrital de Shamboyacu</t>
  </si>
  <si>
    <t>Municipalidad Distrital de las Pirias</t>
  </si>
  <si>
    <t>Municipalidad Distrital de Florida</t>
  </si>
  <si>
    <t>Municipalidad Provincial de Cajabamba</t>
  </si>
  <si>
    <t>Municipalidad Distrital de Callayuc</t>
  </si>
  <si>
    <t>Municipalidad Distrital de Llusco</t>
  </si>
  <si>
    <t>Municipalidad Distrital de Alto Pichigua</t>
  </si>
  <si>
    <t>Municipalidad Distrital de Socabaya</t>
  </si>
  <si>
    <t>Municipalidad Provincial de Chincha - Chincha Alta</t>
  </si>
  <si>
    <t>Municipalidad Distrital de Ilabaya</t>
  </si>
  <si>
    <t>Municipalidad Distrital de San Marcos</t>
  </si>
  <si>
    <t>Municipalidad Distrital de Quicacha</t>
  </si>
  <si>
    <t>Municipalidad Distrital de Chugay</t>
  </si>
  <si>
    <t>Municipalidad Distrital de Llama</t>
  </si>
  <si>
    <t>Municipalidad Distrital de Mancora</t>
  </si>
  <si>
    <t>Municipalidad Distrital de Lalaquiz</t>
  </si>
  <si>
    <t>Municipalidad Distrital de Fernando Lores</t>
  </si>
  <si>
    <t>Municipalidad Distrital de Kosñipata</t>
  </si>
  <si>
    <t>Municipalidad Distrital de Tupac Amaru</t>
  </si>
  <si>
    <t>Municipalidad Provincial de Marañon - Huacrachuco</t>
  </si>
  <si>
    <t>Municipalidad Distrital de Morales</t>
  </si>
  <si>
    <t>Municipalidad Distrital de Leoncio Prado</t>
  </si>
  <si>
    <t>Municipalidad Distrital de Tambillo</t>
  </si>
  <si>
    <t>Municipalidad Distrital de El Alto</t>
  </si>
  <si>
    <t>Municipalidad Distrital de Pillco Marca</t>
  </si>
  <si>
    <t>Municipalidad Provincial de Sanchez Carrión - Huamachuco</t>
  </si>
  <si>
    <t>Municipalidad Distrital de San Jeronimo de Tunan</t>
  </si>
  <si>
    <t>Municipalidad Distrital de San Marcos Rocchac</t>
  </si>
  <si>
    <t>Municipalidad Provincial de Huancabamba</t>
  </si>
  <si>
    <t>Municipalidad Distrital de Honoria</t>
  </si>
  <si>
    <t>Municipalidad Distrital de Colquemarca</t>
  </si>
  <si>
    <t>Municipalidad Distrital de Mi Perú</t>
  </si>
  <si>
    <t>Municipalidad Distrital de Pucusana</t>
  </si>
  <si>
    <t>Municipalidad Distrital de El Cenepa</t>
  </si>
  <si>
    <t>Municipalidad Distrital de La Banda de Shilcayo</t>
  </si>
  <si>
    <t>Municipalidad Distrital de Aramango</t>
  </si>
  <si>
    <t>Municipalidad Distrital de Socos</t>
  </si>
  <si>
    <t>Municipalidad Distrital de Anta</t>
  </si>
  <si>
    <t>Municipalidad Distrital de Chirinos</t>
  </si>
  <si>
    <t>Municipalidad Distrital de Churubamba</t>
  </si>
  <si>
    <t>Municipalidad Distrital de Cospan</t>
  </si>
  <si>
    <t>Municipalidad Distrital de San Martin</t>
  </si>
  <si>
    <t>Municipalidad Distrital de Huaccana</t>
  </si>
  <si>
    <t>Municipalidad Distrital de La Matanza</t>
  </si>
  <si>
    <t>Municipalidad Distrital de Sivia</t>
  </si>
  <si>
    <t>Municipalidad Distrital de Santa Rosa</t>
  </si>
  <si>
    <t>Municipalidad Distrital de Santiago de Pupuja</t>
  </si>
  <si>
    <t>Municipalidad Distrital de Cochorco</t>
  </si>
  <si>
    <t>Municipalidad Distrital de Rocchacc</t>
  </si>
  <si>
    <t>Municipalidad Distrital de Suyckutambo</t>
  </si>
  <si>
    <t>Municipalidad Distrital de La Libertad de Pallan</t>
  </si>
  <si>
    <t>Municipalidad Distrital de La Perla</t>
  </si>
  <si>
    <t>Municipalidad Distrital de Yanas</t>
  </si>
  <si>
    <t>Municipalidad Distrital de Cabana</t>
  </si>
  <si>
    <t>2023</t>
  </si>
  <si>
    <r>
      <t xml:space="preserve"> CRÉDITOS  </t>
    </r>
    <r>
      <rPr>
        <b/>
        <sz val="8"/>
        <rFont val="Arial"/>
        <family val="2"/>
      </rPr>
      <t xml:space="preserve"> 2/</t>
    </r>
  </si>
  <si>
    <t xml:space="preserve"> 2/  Incluye deuda externa contratada por el Gobierno Nacional y trasladada a los Gobiernos </t>
  </si>
  <si>
    <r>
      <t xml:space="preserve"> BONOS   </t>
    </r>
    <r>
      <rPr>
        <b/>
        <sz val="8"/>
        <rFont val="Arial"/>
        <family val="2"/>
      </rPr>
      <t>1/</t>
    </r>
  </si>
  <si>
    <t xml:space="preserve"> 1/  Bonos de la Municipalidad Metropolitana de Lima.</t>
  </si>
  <si>
    <r>
      <t xml:space="preserve">MEF  </t>
    </r>
    <r>
      <rPr>
        <b/>
        <sz val="8"/>
        <rFont val="Arial"/>
        <family val="2"/>
      </rPr>
      <t xml:space="preserve"> 4/   </t>
    </r>
  </si>
  <si>
    <t xml:space="preserve"> 4/  Deuda entre sectores interinstitucionales.</t>
  </si>
  <si>
    <t xml:space="preserve"> 3/  Bonos de la Municipalidad Metropolitana de Lima.</t>
  </si>
  <si>
    <r>
      <t xml:space="preserve">Bonistas    </t>
    </r>
    <r>
      <rPr>
        <b/>
        <sz val="8"/>
        <rFont val="Arial"/>
        <family val="2"/>
      </rPr>
      <t>3/</t>
    </r>
  </si>
  <si>
    <t>Municipalidad Distrital de Chinchaypujio</t>
  </si>
  <si>
    <t>Municipalidad Distrital de Talavera</t>
  </si>
  <si>
    <t>Municipalidad Distrital de Tinyahuarco</t>
  </si>
  <si>
    <t>Municipalidad Distrital de Sangarara</t>
  </si>
  <si>
    <t>Municipalidad Distrital de Ccapi</t>
  </si>
  <si>
    <t>Municipalidad Distrital de Codo de Pozuzo</t>
  </si>
  <si>
    <t>Municipalidad Distrital de Huachocolpa</t>
  </si>
  <si>
    <t>Municipalidad Distrital de Caminaca</t>
  </si>
  <si>
    <t>a/</t>
  </si>
  <si>
    <t>Bonistas</t>
  </si>
  <si>
    <t>Considera deuda de corto plazo y de mediano y largo plazo</t>
  </si>
  <si>
    <t>Municipalidad Distrital de Yanacancha</t>
  </si>
  <si>
    <t>Municipalidad Distrital de Soritor</t>
  </si>
  <si>
    <t>Municipalidad Distrital de La Morada</t>
  </si>
  <si>
    <t>AL 31 DE MARZO DE 2024</t>
  </si>
  <si>
    <t>Municipalidad Distrital de Yura</t>
  </si>
  <si>
    <t>Municipalidad Distrital de Islay</t>
  </si>
  <si>
    <t>Municipalidad Distrital de Sunampe</t>
  </si>
  <si>
    <t>Municipalidad Distrital de Pulan</t>
  </si>
  <si>
    <t xml:space="preserve">      con deuda menor a US$ 114 mil, se agrupan en "Otros" e incluye a 20 entidades.</t>
  </si>
  <si>
    <t>Municipalidad Provincial de Lamas</t>
  </si>
  <si>
    <r>
      <rPr>
        <b/>
        <sz val="11"/>
        <rFont val="Arial"/>
        <family val="2"/>
      </rPr>
      <t xml:space="preserve">Nota: </t>
    </r>
    <r>
      <rPr>
        <sz val="11"/>
        <rFont val="Arial"/>
        <family val="2"/>
      </rPr>
      <t>Los Gobiernos Locales con deuda menor a US$ 101 mil, se agrupa en "Otros" e incluye a 40 entidades.</t>
    </r>
  </si>
  <si>
    <t>SERVICIO ANUAL - POR TIPO DE DEUDA - PERÍODO: DESDE ABRIL 2024 AL 2040</t>
  </si>
  <si>
    <t>Período: Desde abril 2024 al 2043</t>
  </si>
  <si>
    <t xml:space="preserve">          - Tipo de Cambio del 31 de marzo de 2024. </t>
  </si>
  <si>
    <t xml:space="preserve"> a/  Servicio proyectado a partir del mes de abril de 2024.</t>
  </si>
  <si>
    <t>Mar 2024</t>
  </si>
  <si>
    <t>Al 31 de marzo de 2024</t>
  </si>
</sst>
</file>

<file path=xl/styles.xml><?xml version="1.0" encoding="utf-8"?>
<styleSheet xmlns="http://schemas.openxmlformats.org/spreadsheetml/2006/main">
  <numFmts count="63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&quot;S/.&quot;\ * #,##0_ ;_ &quot;S/.&quot;\ * \-#,##0_ ;_ &quot;S/.&quot;\ * &quot;-&quot;_ ;_ @_ "/>
    <numFmt numFmtId="167" formatCode="_ &quot;S/.&quot;\ * #,##0.00_ ;_ &quot;S/.&quot;\ * \-#,##0.00_ ;_ &quot;S/.&quot;\ * &quot;-&quot;??_ ;_ @_ "/>
    <numFmt numFmtId="168" formatCode="###,###,###,###"/>
    <numFmt numFmtId="169" formatCode="###,###,###"/>
    <numFmt numFmtId="170" formatCode="_ * #,##0.0_ ;_ * \-#,##0.0_ ;_ * &quot;-&quot;??_ ;_ @_ "/>
    <numFmt numFmtId="171" formatCode="0.0%"/>
    <numFmt numFmtId="172" formatCode="_ * #,##0_ ;_ * \-#,##0_ ;_ * &quot;-&quot;??_ ;_ @_ "/>
    <numFmt numFmtId="173" formatCode="_ * #,##0_ ;_ * \-#,##0_ ;_ * &quot;0&quot;??_ ;_ @_ "/>
    <numFmt numFmtId="174" formatCode="_([$€]\ * #,##0.00_);_([$€]\ * \(#,##0.00\);_([$€]\ * &quot;-&quot;??_);_(@_)"/>
    <numFmt numFmtId="175" formatCode="[$-280A]d&quot; de &quot;mmmm&quot; de &quot;yyyy;@"/>
    <numFmt numFmtId="176" formatCode="0.0000"/>
    <numFmt numFmtId="177" formatCode="0.000"/>
    <numFmt numFmtId="178" formatCode="0.0"/>
    <numFmt numFmtId="179" formatCode="#,##0.0;[Red]\-#,##0.0"/>
    <numFmt numFmtId="180" formatCode="0.00000000"/>
    <numFmt numFmtId="181" formatCode="0.0000000000"/>
    <numFmt numFmtId="182" formatCode="0.000000"/>
    <numFmt numFmtId="183" formatCode="0.00000"/>
    <numFmt numFmtId="184" formatCode="###,###,###,###.00000"/>
    <numFmt numFmtId="185" formatCode="#,##0.000000000;[Red]\-#,##0.000000000"/>
    <numFmt numFmtId="186" formatCode="#,##0.000000000000000;[Red]\-#,##0.000000000000000"/>
    <numFmt numFmtId="187" formatCode="0.0000000"/>
    <numFmt numFmtId="188" formatCode="0.000000000"/>
    <numFmt numFmtId="189" formatCode="0.00000000000"/>
    <numFmt numFmtId="190" formatCode="0.000000000000"/>
    <numFmt numFmtId="191" formatCode="###,###,###,###.000"/>
    <numFmt numFmtId="192" formatCode="#,##0.00000;[Red]\-#,##0.00000"/>
    <numFmt numFmtId="193" formatCode="#,##0.00000000;[Red]\-#,##0.00000000"/>
    <numFmt numFmtId="194" formatCode="#,##0.0000000000;[Red]\-#,##0.0000000000"/>
    <numFmt numFmtId="195" formatCode="0.00000000000000"/>
    <numFmt numFmtId="196" formatCode="#,##0.0000000;[Red]\-#,##0.0000000"/>
    <numFmt numFmtId="197" formatCode="###,###,###,###.0000000"/>
    <numFmt numFmtId="198" formatCode="_ * #,##0.0000000000_ ;_ * \-#,##0.0000000000_ ;_ * &quot;-&quot;??????????_ ;_ @_ "/>
    <numFmt numFmtId="199" formatCode="0.0000000000000"/>
    <numFmt numFmtId="200" formatCode="###,###,###,###.000000000"/>
    <numFmt numFmtId="201" formatCode="#,##0.000000;[Red]\-#,##0.000000"/>
    <numFmt numFmtId="202" formatCode="#,##0.000000000000;[Red]\-#,##0.000000000000"/>
    <numFmt numFmtId="203" formatCode="#,##0.0"/>
    <numFmt numFmtId="204" formatCode="#,##0.00000"/>
    <numFmt numFmtId="205" formatCode="#,##0.000"/>
    <numFmt numFmtId="206" formatCode="#,##0.0000000"/>
    <numFmt numFmtId="207" formatCode="#,##0.00000000"/>
    <numFmt numFmtId="208" formatCode="#,##0.000000"/>
    <numFmt numFmtId="209" formatCode="#,##0.00000_ ;[Red]\-#,##0.00000\ "/>
    <numFmt numFmtId="210" formatCode="#,##0.000000_ ;[Red]\-#,##0.000000\ "/>
    <numFmt numFmtId="211" formatCode="#,##0.0000"/>
    <numFmt numFmtId="212" formatCode="#,##0.00000000000_ ;[Red]\-#,##0.00000000000\ 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#,##0.000;[Red]\-#,##0.000"/>
    <numFmt numFmtId="218" formatCode="#,##0.0000;[Red]\-#,##0.0000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vertAlign val="superscript"/>
      <sz val="8"/>
      <name val="Arial"/>
      <family val="2"/>
    </font>
    <font>
      <b/>
      <sz val="15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name val="Calibri"/>
      <family val="2"/>
    </font>
    <font>
      <sz val="15"/>
      <name val="Arial"/>
      <family val="2"/>
    </font>
    <font>
      <sz val="7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u val="single"/>
      <sz val="11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5.25"/>
      <color indexed="8"/>
      <name val="Arial"/>
      <family val="0"/>
    </font>
    <font>
      <b/>
      <sz val="6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55"/>
      <name val="Arial"/>
      <family val="2"/>
    </font>
    <font>
      <sz val="11"/>
      <color indexed="22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sz val="11"/>
      <color theme="0" tint="-0.24997000396251678"/>
      <name val="Arial"/>
      <family val="2"/>
    </font>
    <font>
      <sz val="11"/>
      <color theme="0" tint="-0.1499900072813034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1"/>
      <color theme="1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/>
      <right/>
      <top style="thin">
        <color indexed="23"/>
      </top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>
        <color rgb="FF808080"/>
      </right>
      <top style="thin">
        <color indexed="23"/>
      </top>
      <bottom>
        <color indexed="63"/>
      </bottom>
    </border>
    <border>
      <left style="thin">
        <color rgb="FF808080"/>
      </left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1" applyNumberFormat="0" applyAlignment="0" applyProtection="0"/>
    <xf numFmtId="0" fontId="71" fillId="21" borderId="2" applyNumberFormat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75" fillId="28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9" fillId="30" borderId="0" applyNumberFormat="0" applyBorder="0" applyAlignment="0" applyProtection="0"/>
    <xf numFmtId="174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80" fillId="20" borderId="6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7" applyNumberFormat="0" applyFill="0" applyAlignment="0" applyProtection="0"/>
    <xf numFmtId="0" fontId="74" fillId="0" borderId="8" applyNumberFormat="0" applyFill="0" applyAlignment="0" applyProtection="0"/>
    <xf numFmtId="0" fontId="85" fillId="0" borderId="9" applyNumberFormat="0" applyFill="0" applyAlignment="0" applyProtection="0"/>
  </cellStyleXfs>
  <cellXfs count="606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19" fillId="32" borderId="0" xfId="0" applyFont="1" applyFill="1" applyAlignment="1">
      <alignment/>
    </xf>
    <xf numFmtId="0" fontId="10" fillId="32" borderId="0" xfId="0" applyFont="1" applyFill="1" applyAlignment="1">
      <alignment vertical="center"/>
    </xf>
    <xf numFmtId="0" fontId="2" fillId="32" borderId="0" xfId="56" applyFont="1" applyFill="1" applyAlignment="1">
      <alignment vertical="center"/>
      <protection/>
    </xf>
    <xf numFmtId="0" fontId="3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vertical="center"/>
    </xf>
    <xf numFmtId="0" fontId="6" fillId="32" borderId="0" xfId="0" applyFont="1" applyFill="1" applyAlignment="1">
      <alignment vertical="top"/>
    </xf>
    <xf numFmtId="0" fontId="2" fillId="32" borderId="0" xfId="0" applyFont="1" applyFill="1" applyAlignment="1">
      <alignment horizontal="justify" vertical="center" wrapText="1"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 wrapText="1"/>
    </xf>
    <xf numFmtId="14" fontId="2" fillId="32" borderId="0" xfId="0" applyNumberFormat="1" applyFont="1" applyFill="1" applyAlignment="1">
      <alignment horizontal="left" vertical="center"/>
    </xf>
    <xf numFmtId="0" fontId="2" fillId="32" borderId="0" xfId="0" applyFont="1" applyFill="1" applyAlignment="1">
      <alignment vertical="top"/>
    </xf>
    <xf numFmtId="0" fontId="20" fillId="32" borderId="0" xfId="0" applyFont="1" applyFill="1" applyAlignment="1">
      <alignment/>
    </xf>
    <xf numFmtId="0" fontId="16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17" fillId="32" borderId="0" xfId="0" applyFont="1" applyFill="1" applyAlignment="1">
      <alignment/>
    </xf>
    <xf numFmtId="0" fontId="10" fillId="32" borderId="0" xfId="0" applyFont="1" applyFill="1" applyAlignment="1" applyProtection="1">
      <alignment horizontal="left" wrapText="1"/>
      <protection/>
    </xf>
    <xf numFmtId="0" fontId="17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left" vertical="center" indent="2"/>
    </xf>
    <xf numFmtId="0" fontId="10" fillId="32" borderId="12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38" fontId="3" fillId="32" borderId="0" xfId="49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165" fontId="1" fillId="32" borderId="0" xfId="49" applyFont="1" applyFill="1" applyAlignment="1">
      <alignment/>
    </xf>
    <xf numFmtId="0" fontId="10" fillId="32" borderId="10" xfId="0" applyFont="1" applyFill="1" applyBorder="1" applyAlignment="1">
      <alignment horizontal="center" vertical="center" wrapText="1" readingOrder="1"/>
    </xf>
    <xf numFmtId="0" fontId="10" fillId="32" borderId="12" xfId="0" applyFont="1" applyFill="1" applyBorder="1" applyAlignment="1">
      <alignment horizontal="center" vertical="center" wrapText="1" readingOrder="1"/>
    </xf>
    <xf numFmtId="0" fontId="13" fillId="32" borderId="12" xfId="0" applyFont="1" applyFill="1" applyBorder="1" applyAlignment="1">
      <alignment horizontal="left" vertical="center" wrapText="1" readingOrder="1"/>
    </xf>
    <xf numFmtId="0" fontId="12" fillId="32" borderId="12" xfId="0" applyFont="1" applyFill="1" applyBorder="1" applyAlignment="1">
      <alignment horizontal="left" vertical="center" wrapText="1" readingOrder="1"/>
    </xf>
    <xf numFmtId="0" fontId="8" fillId="32" borderId="12" xfId="0" applyFont="1" applyFill="1" applyBorder="1" applyAlignment="1">
      <alignment horizontal="left" vertical="center" wrapText="1" readingOrder="1"/>
    </xf>
    <xf numFmtId="0" fontId="10" fillId="32" borderId="13" xfId="0" applyFont="1" applyFill="1" applyBorder="1" applyAlignment="1">
      <alignment horizontal="center" vertical="center" wrapText="1" readingOrder="1"/>
    </xf>
    <xf numFmtId="0" fontId="10" fillId="32" borderId="0" xfId="0" applyFont="1" applyFill="1" applyBorder="1" applyAlignment="1">
      <alignment horizontal="left" vertical="center" wrapText="1" readingOrder="1"/>
    </xf>
    <xf numFmtId="0" fontId="11" fillId="32" borderId="13" xfId="0" applyFont="1" applyFill="1" applyBorder="1" applyAlignment="1">
      <alignment horizontal="left" vertical="center" wrapText="1" readingOrder="1"/>
    </xf>
    <xf numFmtId="0" fontId="10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>
      <alignment vertical="center" wrapText="1" readingOrder="1"/>
    </xf>
    <xf numFmtId="168" fontId="12" fillId="32" borderId="14" xfId="0" applyNumberFormat="1" applyFont="1" applyFill="1" applyBorder="1" applyAlignment="1">
      <alignment horizontal="right" textRotation="255" readingOrder="1"/>
    </xf>
    <xf numFmtId="0" fontId="11" fillId="32" borderId="14" xfId="0" applyFont="1" applyFill="1" applyBorder="1" applyAlignment="1">
      <alignment horizontal="left" vertical="center" wrapText="1" indent="5" readingOrder="1"/>
    </xf>
    <xf numFmtId="0" fontId="11" fillId="32" borderId="15" xfId="0" applyFont="1" applyFill="1" applyBorder="1" applyAlignment="1">
      <alignment horizontal="left" vertical="center" wrapText="1" indent="3" readingOrder="1"/>
    </xf>
    <xf numFmtId="0" fontId="11" fillId="32" borderId="14" xfId="0" applyFont="1" applyFill="1" applyBorder="1" applyAlignment="1">
      <alignment horizontal="left" vertical="center" wrapText="1" indent="3" readingOrder="1"/>
    </xf>
    <xf numFmtId="0" fontId="13" fillId="32" borderId="14" xfId="0" applyFont="1" applyFill="1" applyBorder="1" applyAlignment="1">
      <alignment horizontal="left" vertical="center" wrapText="1" indent="1" readingOrder="1"/>
    </xf>
    <xf numFmtId="0" fontId="12" fillId="32" borderId="14" xfId="0" applyFont="1" applyFill="1" applyBorder="1" applyAlignment="1">
      <alignment horizontal="left" vertical="center" wrapText="1" indent="3" readingOrder="1"/>
    </xf>
    <xf numFmtId="0" fontId="24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0" fillId="32" borderId="16" xfId="0" applyFont="1" applyFill="1" applyBorder="1" applyAlignment="1">
      <alignment horizontal="center" vertical="center" wrapText="1" readingOrder="1"/>
    </xf>
    <xf numFmtId="0" fontId="5" fillId="32" borderId="10" xfId="0" applyFont="1" applyFill="1" applyBorder="1" applyAlignment="1">
      <alignment horizontal="center" vertical="center" wrapText="1"/>
    </xf>
    <xf numFmtId="3" fontId="5" fillId="32" borderId="17" xfId="0" applyNumberFormat="1" applyFont="1" applyFill="1" applyBorder="1" applyAlignment="1" applyProtection="1">
      <alignment horizontal="center" vertical="center" wrapText="1"/>
      <protection/>
    </xf>
    <xf numFmtId="165" fontId="2" fillId="32" borderId="0" xfId="49" applyFont="1" applyFill="1" applyAlignment="1">
      <alignment vertical="center"/>
    </xf>
    <xf numFmtId="0" fontId="21" fillId="32" borderId="0" xfId="0" applyFont="1" applyFill="1" applyBorder="1" applyAlignment="1">
      <alignment vertical="center"/>
    </xf>
    <xf numFmtId="165" fontId="21" fillId="32" borderId="0" xfId="49" applyFont="1" applyFill="1" applyBorder="1" applyAlignment="1">
      <alignment vertical="center"/>
    </xf>
    <xf numFmtId="165" fontId="22" fillId="32" borderId="0" xfId="49" applyFont="1" applyFill="1" applyBorder="1" applyAlignment="1">
      <alignment vertical="center"/>
    </xf>
    <xf numFmtId="0" fontId="22" fillId="32" borderId="0" xfId="0" applyFont="1" applyFill="1" applyBorder="1" applyAlignment="1">
      <alignment vertical="center"/>
    </xf>
    <xf numFmtId="0" fontId="5" fillId="32" borderId="0" xfId="0" applyFont="1" applyFill="1" applyAlignment="1" applyProtection="1">
      <alignment horizontal="left" wrapText="1"/>
      <protection/>
    </xf>
    <xf numFmtId="0" fontId="5" fillId="32" borderId="0" xfId="0" applyFont="1" applyFill="1" applyAlignment="1" applyProtection="1">
      <alignment horizontal="left" vertical="center" wrapText="1"/>
      <protection/>
    </xf>
    <xf numFmtId="0" fontId="25" fillId="32" borderId="0" xfId="0" applyFont="1" applyFill="1" applyAlignment="1">
      <alignment/>
    </xf>
    <xf numFmtId="0" fontId="13" fillId="32" borderId="12" xfId="0" applyFont="1" applyFill="1" applyBorder="1" applyAlignment="1">
      <alignment vertical="center"/>
    </xf>
    <xf numFmtId="0" fontId="10" fillId="32" borderId="12" xfId="0" applyFont="1" applyFill="1" applyBorder="1" applyAlignment="1">
      <alignment horizontal="left" vertical="center"/>
    </xf>
    <xf numFmtId="0" fontId="13" fillId="32" borderId="12" xfId="0" applyFont="1" applyFill="1" applyBorder="1" applyAlignment="1">
      <alignment vertical="center" wrapText="1"/>
    </xf>
    <xf numFmtId="0" fontId="17" fillId="32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/>
    </xf>
    <xf numFmtId="168" fontId="5" fillId="33" borderId="14" xfId="0" applyNumberFormat="1" applyFont="1" applyFill="1" applyBorder="1" applyAlignment="1">
      <alignment horizontal="right" vertical="center" indent="3" readingOrder="1"/>
    </xf>
    <xf numFmtId="168" fontId="5" fillId="33" borderId="12" xfId="0" applyNumberFormat="1" applyFont="1" applyFill="1" applyBorder="1" applyAlignment="1">
      <alignment horizontal="right" vertical="center" indent="3" readingOrder="1"/>
    </xf>
    <xf numFmtId="0" fontId="10" fillId="33" borderId="14" xfId="0" applyFont="1" applyFill="1" applyBorder="1" applyAlignment="1">
      <alignment horizontal="left" vertical="center" wrapText="1" indent="2" readingOrder="1"/>
    </xf>
    <xf numFmtId="168" fontId="10" fillId="33" borderId="14" xfId="0" applyNumberFormat="1" applyFont="1" applyFill="1" applyBorder="1" applyAlignment="1">
      <alignment horizontal="right" vertical="center" indent="3" readingOrder="1"/>
    </xf>
    <xf numFmtId="168" fontId="10" fillId="33" borderId="12" xfId="0" applyNumberFormat="1" applyFont="1" applyFill="1" applyBorder="1" applyAlignment="1">
      <alignment horizontal="right" vertical="center" indent="3" readingOrder="1"/>
    </xf>
    <xf numFmtId="0" fontId="11" fillId="33" borderId="14" xfId="0" applyFont="1" applyFill="1" applyBorder="1" applyAlignment="1">
      <alignment horizontal="left" vertical="center" wrapText="1" indent="2" readingOrder="1"/>
    </xf>
    <xf numFmtId="168" fontId="11" fillId="33" borderId="14" xfId="0" applyNumberFormat="1" applyFont="1" applyFill="1" applyBorder="1" applyAlignment="1">
      <alignment horizontal="right" vertical="center" indent="3" readingOrder="1"/>
    </xf>
    <xf numFmtId="168" fontId="11" fillId="33" borderId="12" xfId="0" applyNumberFormat="1" applyFont="1" applyFill="1" applyBorder="1" applyAlignment="1">
      <alignment horizontal="right" vertical="center" indent="3" readingOrder="1"/>
    </xf>
    <xf numFmtId="0" fontId="5" fillId="33" borderId="14" xfId="0" applyFont="1" applyFill="1" applyBorder="1" applyAlignment="1">
      <alignment horizontal="left" vertical="center" wrapText="1" readingOrder="1"/>
    </xf>
    <xf numFmtId="0" fontId="17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/>
    </xf>
    <xf numFmtId="0" fontId="12" fillId="33" borderId="14" xfId="0" applyFont="1" applyFill="1" applyBorder="1" applyAlignment="1">
      <alignment horizontal="left" indent="3"/>
    </xf>
    <xf numFmtId="0" fontId="1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12" fillId="33" borderId="14" xfId="0" applyFont="1" applyFill="1" applyBorder="1" applyAlignment="1">
      <alignment horizontal="left" vertical="center" indent="2"/>
    </xf>
    <xf numFmtId="0" fontId="5" fillId="33" borderId="0" xfId="0" applyFont="1" applyFill="1" applyBorder="1" applyAlignment="1">
      <alignment/>
    </xf>
    <xf numFmtId="38" fontId="5" fillId="33" borderId="0" xfId="49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7" fillId="32" borderId="14" xfId="0" applyFont="1" applyFill="1" applyBorder="1" applyAlignment="1">
      <alignment textRotation="255" readingOrder="1"/>
    </xf>
    <xf numFmtId="0" fontId="2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16" xfId="0" applyFont="1" applyFill="1" applyBorder="1" applyAlignment="1">
      <alignment horizontal="center" vertical="center" wrapText="1" readingOrder="1"/>
    </xf>
    <xf numFmtId="168" fontId="10" fillId="33" borderId="0" xfId="0" applyNumberFormat="1" applyFont="1" applyFill="1" applyBorder="1" applyAlignment="1">
      <alignment horizontal="right" vertical="center" indent="1" readingOrder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12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 horizontal="left" vertical="center"/>
      <protection/>
    </xf>
    <xf numFmtId="38" fontId="5" fillId="33" borderId="12" xfId="49" applyNumberFormat="1" applyFont="1" applyFill="1" applyBorder="1" applyAlignment="1">
      <alignment horizontal="right" vertical="center" indent="2"/>
    </xf>
    <xf numFmtId="168" fontId="17" fillId="33" borderId="0" xfId="0" applyNumberFormat="1" applyFont="1" applyFill="1" applyAlignment="1">
      <alignment/>
    </xf>
    <xf numFmtId="187" fontId="22" fillId="32" borderId="0" xfId="49" applyNumberFormat="1" applyFont="1" applyFill="1" applyBorder="1" applyAlignment="1">
      <alignment vertical="center"/>
    </xf>
    <xf numFmtId="0" fontId="12" fillId="33" borderId="14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5" fillId="33" borderId="14" xfId="0" applyFont="1" applyFill="1" applyBorder="1" applyAlignment="1">
      <alignment horizontal="left" vertical="center" wrapText="1" indent="1"/>
    </xf>
    <xf numFmtId="0" fontId="5" fillId="33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left" vertical="center" indent="1"/>
    </xf>
    <xf numFmtId="0" fontId="5" fillId="33" borderId="14" xfId="0" applyFont="1" applyFill="1" applyBorder="1" applyAlignment="1">
      <alignment vertical="center"/>
    </xf>
    <xf numFmtId="38" fontId="5" fillId="33" borderId="17" xfId="49" applyNumberFormat="1" applyFont="1" applyFill="1" applyBorder="1" applyAlignment="1">
      <alignment horizontal="right" vertical="center" indent="2"/>
    </xf>
    <xf numFmtId="0" fontId="5" fillId="33" borderId="0" xfId="0" applyFont="1" applyFill="1" applyAlignment="1">
      <alignment/>
    </xf>
    <xf numFmtId="0" fontId="10" fillId="33" borderId="12" xfId="0" applyFont="1" applyFill="1" applyBorder="1" applyAlignment="1">
      <alignment horizontal="center" vertical="center" wrapText="1" readingOrder="1"/>
    </xf>
    <xf numFmtId="0" fontId="10" fillId="33" borderId="0" xfId="0" applyFont="1" applyFill="1" applyBorder="1" applyAlignment="1">
      <alignment horizontal="left" vertical="center" wrapText="1" readingOrder="1"/>
    </xf>
    <xf numFmtId="0" fontId="6" fillId="33" borderId="0" xfId="0" applyFont="1" applyFill="1" applyAlignment="1" applyProtection="1">
      <alignment/>
      <protection/>
    </xf>
    <xf numFmtId="0" fontId="17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/>
    </xf>
    <xf numFmtId="0" fontId="11" fillId="33" borderId="14" xfId="0" applyFont="1" applyFill="1" applyBorder="1" applyAlignment="1">
      <alignment horizontal="left" vertical="center" wrapText="1" readingOrder="1"/>
    </xf>
    <xf numFmtId="165" fontId="17" fillId="33" borderId="0" xfId="0" applyNumberFormat="1" applyFont="1" applyFill="1" applyAlignment="1">
      <alignment/>
    </xf>
    <xf numFmtId="182" fontId="17" fillId="33" borderId="0" xfId="0" applyNumberFormat="1" applyFont="1" applyFill="1" applyAlignment="1">
      <alignment/>
    </xf>
    <xf numFmtId="0" fontId="11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indent="1"/>
    </xf>
    <xf numFmtId="171" fontId="2" fillId="33" borderId="0" xfId="59" applyNumberFormat="1" applyFont="1" applyFill="1" applyBorder="1" applyAlignment="1">
      <alignment horizontal="left" vertical="center" indent="4"/>
    </xf>
    <xf numFmtId="0" fontId="6" fillId="33" borderId="19" xfId="0" applyFont="1" applyFill="1" applyBorder="1" applyAlignment="1">
      <alignment horizontal="center" vertical="center"/>
    </xf>
    <xf numFmtId="171" fontId="6" fillId="33" borderId="0" xfId="59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0" fillId="33" borderId="0" xfId="0" applyFont="1" applyFill="1" applyAlignment="1" applyProtection="1">
      <alignment horizontal="left" wrapText="1"/>
      <protection/>
    </xf>
    <xf numFmtId="165" fontId="17" fillId="33" borderId="0" xfId="49" applyFont="1" applyFill="1" applyAlignment="1">
      <alignment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 readingOrder="1"/>
    </xf>
    <xf numFmtId="0" fontId="13" fillId="33" borderId="14" xfId="0" applyFont="1" applyFill="1" applyBorder="1" applyAlignment="1">
      <alignment horizontal="left" vertical="center" wrapText="1" indent="1" readingOrder="1"/>
    </xf>
    <xf numFmtId="0" fontId="2" fillId="33" borderId="0" xfId="56" applyFont="1" applyFill="1" applyAlignment="1">
      <alignment vertical="center"/>
      <protection/>
    </xf>
    <xf numFmtId="168" fontId="12" fillId="33" borderId="0" xfId="0" applyNumberFormat="1" applyFont="1" applyFill="1" applyAlignment="1">
      <alignment/>
    </xf>
    <xf numFmtId="0" fontId="26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168" fontId="12" fillId="33" borderId="0" xfId="0" applyNumberFormat="1" applyFont="1" applyFill="1" applyAlignment="1">
      <alignment horizontal="center"/>
    </xf>
    <xf numFmtId="0" fontId="5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68" fontId="12" fillId="33" borderId="0" xfId="0" applyNumberFormat="1" applyFont="1" applyFill="1" applyAlignment="1">
      <alignment horizontal="right" indent="4"/>
    </xf>
    <xf numFmtId="0" fontId="13" fillId="33" borderId="0" xfId="0" applyFont="1" applyFill="1" applyAlignment="1" applyProtection="1">
      <alignment/>
      <protection/>
    </xf>
    <xf numFmtId="0" fontId="2" fillId="33" borderId="0" xfId="56" applyFont="1" applyFill="1">
      <alignment/>
      <protection/>
    </xf>
    <xf numFmtId="168" fontId="11" fillId="33" borderId="0" xfId="0" applyNumberFormat="1" applyFont="1" applyFill="1" applyAlignment="1">
      <alignment/>
    </xf>
    <xf numFmtId="0" fontId="10" fillId="33" borderId="0" xfId="0" applyFont="1" applyFill="1" applyBorder="1" applyAlignment="1" applyProtection="1">
      <alignment/>
      <protection/>
    </xf>
    <xf numFmtId="168" fontId="11" fillId="33" borderId="0" xfId="0" applyNumberFormat="1" applyFont="1" applyFill="1" applyAlignment="1">
      <alignment horizontal="center"/>
    </xf>
    <xf numFmtId="168" fontId="11" fillId="33" borderId="0" xfId="0" applyNumberFormat="1" applyFont="1" applyFill="1" applyAlignment="1">
      <alignment horizontal="right" indent="4"/>
    </xf>
    <xf numFmtId="168" fontId="12" fillId="33" borderId="0" xfId="0" applyNumberFormat="1" applyFont="1" applyFill="1" applyAlignment="1">
      <alignment vertical="center"/>
    </xf>
    <xf numFmtId="168" fontId="13" fillId="33" borderId="20" xfId="49" applyNumberFormat="1" applyFont="1" applyFill="1" applyBorder="1" applyAlignment="1">
      <alignment horizontal="right" indent="1"/>
    </xf>
    <xf numFmtId="168" fontId="13" fillId="33" borderId="21" xfId="49" applyNumberFormat="1" applyFont="1" applyFill="1" applyBorder="1" applyAlignment="1">
      <alignment horizontal="right" indent="1"/>
    </xf>
    <xf numFmtId="168" fontId="13" fillId="33" borderId="15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horizontal="center"/>
      <protection/>
    </xf>
    <xf numFmtId="0" fontId="13" fillId="33" borderId="22" xfId="0" applyFont="1" applyFill="1" applyBorder="1" applyAlignment="1" applyProtection="1">
      <alignment horizontal="center"/>
      <protection/>
    </xf>
    <xf numFmtId="177" fontId="12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168" fontId="12" fillId="33" borderId="15" xfId="0" applyNumberFormat="1" applyFont="1" applyFill="1" applyBorder="1" applyAlignment="1">
      <alignment/>
    </xf>
    <xf numFmtId="168" fontId="12" fillId="33" borderId="21" xfId="0" applyNumberFormat="1" applyFont="1" applyFill="1" applyBorder="1" applyAlignment="1">
      <alignment/>
    </xf>
    <xf numFmtId="0" fontId="12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184" fontId="11" fillId="33" borderId="0" xfId="0" applyNumberFormat="1" applyFont="1" applyFill="1" applyAlignment="1">
      <alignment horizontal="center"/>
    </xf>
    <xf numFmtId="184" fontId="11" fillId="33" borderId="0" xfId="0" applyNumberFormat="1" applyFont="1" applyFill="1" applyAlignment="1">
      <alignment horizontal="right" indent="4"/>
    </xf>
    <xf numFmtId="182" fontId="12" fillId="33" borderId="0" xfId="0" applyNumberFormat="1" applyFont="1" applyFill="1" applyAlignment="1">
      <alignment horizontal="center"/>
    </xf>
    <xf numFmtId="176" fontId="12" fillId="33" borderId="0" xfId="0" applyNumberFormat="1" applyFont="1" applyFill="1" applyAlignment="1">
      <alignment horizontal="center"/>
    </xf>
    <xf numFmtId="168" fontId="13" fillId="33" borderId="22" xfId="0" applyNumberFormat="1" applyFont="1" applyFill="1" applyBorder="1" applyAlignment="1">
      <alignment horizontal="center" vertical="center"/>
    </xf>
    <xf numFmtId="168" fontId="13" fillId="33" borderId="20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168" fontId="5" fillId="33" borderId="0" xfId="49" applyNumberFormat="1" applyFont="1" applyFill="1" applyBorder="1" applyAlignment="1">
      <alignment horizontal="center"/>
    </xf>
    <xf numFmtId="168" fontId="12" fillId="33" borderId="20" xfId="0" applyNumberFormat="1" applyFont="1" applyFill="1" applyBorder="1" applyAlignment="1">
      <alignment/>
    </xf>
    <xf numFmtId="200" fontId="11" fillId="33" borderId="0" xfId="0" applyNumberFormat="1" applyFont="1" applyFill="1" applyAlignment="1">
      <alignment horizontal="center"/>
    </xf>
    <xf numFmtId="190" fontId="2" fillId="33" borderId="0" xfId="0" applyNumberFormat="1" applyFont="1" applyFill="1" applyAlignment="1">
      <alignment horizontal="right" vertical="center" wrapText="1"/>
    </xf>
    <xf numFmtId="0" fontId="2" fillId="33" borderId="23" xfId="0" applyFont="1" applyFill="1" applyBorder="1" applyAlignment="1">
      <alignment horizontal="left" vertical="center" indent="1"/>
    </xf>
    <xf numFmtId="0" fontId="17" fillId="33" borderId="0" xfId="0" applyFont="1" applyFill="1" applyBorder="1" applyAlignment="1">
      <alignment horizontal="left"/>
    </xf>
    <xf numFmtId="0" fontId="24" fillId="32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38" fontId="17" fillId="33" borderId="0" xfId="0" applyNumberFormat="1" applyFont="1" applyFill="1" applyBorder="1" applyAlignment="1">
      <alignment horizontal="left"/>
    </xf>
    <xf numFmtId="1" fontId="17" fillId="33" borderId="0" xfId="0" applyNumberFormat="1" applyFont="1" applyFill="1" applyBorder="1" applyAlignment="1">
      <alignment horizontal="left"/>
    </xf>
    <xf numFmtId="180" fontId="17" fillId="32" borderId="0" xfId="0" applyNumberFormat="1" applyFont="1" applyFill="1" applyAlignment="1">
      <alignment/>
    </xf>
    <xf numFmtId="38" fontId="11" fillId="33" borderId="0" xfId="0" applyNumberFormat="1" applyFont="1" applyFill="1" applyAlignment="1">
      <alignment vertical="center" wrapText="1"/>
    </xf>
    <xf numFmtId="165" fontId="86" fillId="33" borderId="0" xfId="49" applyFont="1" applyFill="1" applyAlignment="1">
      <alignment horizontal="center"/>
    </xf>
    <xf numFmtId="0" fontId="12" fillId="0" borderId="0" xfId="0" applyFont="1" applyFill="1" applyAlignment="1">
      <alignment/>
    </xf>
    <xf numFmtId="187" fontId="17" fillId="32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184" fontId="17" fillId="33" borderId="0" xfId="0" applyNumberFormat="1" applyFont="1" applyFill="1" applyAlignment="1">
      <alignment/>
    </xf>
    <xf numFmtId="0" fontId="17" fillId="33" borderId="0" xfId="0" applyFont="1" applyFill="1" applyAlignment="1">
      <alignment horizontal="left"/>
    </xf>
    <xf numFmtId="180" fontId="6" fillId="33" borderId="0" xfId="49" applyNumberFormat="1" applyFont="1" applyFill="1" applyBorder="1" applyAlignment="1">
      <alignment vertical="center"/>
    </xf>
    <xf numFmtId="189" fontId="2" fillId="33" borderId="0" xfId="49" applyNumberFormat="1" applyFont="1" applyFill="1" applyAlignment="1">
      <alignment vertical="center"/>
    </xf>
    <xf numFmtId="188" fontId="10" fillId="33" borderId="0" xfId="0" applyNumberFormat="1" applyFont="1" applyFill="1" applyBorder="1" applyAlignment="1">
      <alignment horizontal="right" vertical="center" indent="1" readingOrder="1"/>
    </xf>
    <xf numFmtId="180" fontId="11" fillId="33" borderId="0" xfId="0" applyNumberFormat="1" applyFont="1" applyFill="1" applyAlignment="1">
      <alignment horizontal="center"/>
    </xf>
    <xf numFmtId="188" fontId="11" fillId="33" borderId="0" xfId="0" applyNumberFormat="1" applyFont="1" applyFill="1" applyAlignment="1">
      <alignment horizontal="center"/>
    </xf>
    <xf numFmtId="196" fontId="11" fillId="33" borderId="0" xfId="0" applyNumberFormat="1" applyFont="1" applyFill="1" applyAlignment="1">
      <alignment horizontal="left" vertical="center"/>
    </xf>
    <xf numFmtId="194" fontId="11" fillId="33" borderId="0" xfId="0" applyNumberFormat="1" applyFont="1" applyFill="1" applyAlignment="1">
      <alignment horizontal="left" vertical="center"/>
    </xf>
    <xf numFmtId="194" fontId="11" fillId="33" borderId="0" xfId="0" applyNumberFormat="1" applyFont="1" applyFill="1" applyAlignment="1">
      <alignment horizontal="right" vertical="center"/>
    </xf>
    <xf numFmtId="192" fontId="12" fillId="33" borderId="0" xfId="0" applyNumberFormat="1" applyFont="1" applyFill="1" applyAlignment="1">
      <alignment/>
    </xf>
    <xf numFmtId="0" fontId="5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left" vertical="top" indent="4"/>
    </xf>
    <xf numFmtId="0" fontId="4" fillId="32" borderId="0" xfId="0" applyFont="1" applyFill="1" applyBorder="1" applyAlignment="1">
      <alignment vertical="center"/>
    </xf>
    <xf numFmtId="187" fontId="17" fillId="33" borderId="0" xfId="0" applyNumberFormat="1" applyFont="1" applyFill="1" applyAlignment="1">
      <alignment/>
    </xf>
    <xf numFmtId="0" fontId="13" fillId="33" borderId="12" xfId="0" applyFont="1" applyFill="1" applyBorder="1" applyAlignment="1">
      <alignment horizontal="left" vertical="center" wrapText="1" readingOrder="1"/>
    </xf>
    <xf numFmtId="0" fontId="12" fillId="33" borderId="12" xfId="0" applyFont="1" applyFill="1" applyBorder="1" applyAlignment="1">
      <alignment horizontal="left" vertical="center" wrapText="1" readingOrder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 readingOrder="1"/>
    </xf>
    <xf numFmtId="188" fontId="2" fillId="33" borderId="0" xfId="0" applyNumberFormat="1" applyFont="1" applyFill="1" applyAlignment="1">
      <alignment vertical="center"/>
    </xf>
    <xf numFmtId="177" fontId="11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 vertical="center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190" fontId="17" fillId="33" borderId="0" xfId="0" applyNumberFormat="1" applyFont="1" applyFill="1" applyAlignment="1">
      <alignment/>
    </xf>
    <xf numFmtId="168" fontId="87" fillId="33" borderId="0" xfId="0" applyNumberFormat="1" applyFont="1" applyFill="1" applyAlignment="1">
      <alignment/>
    </xf>
    <xf numFmtId="0" fontId="17" fillId="32" borderId="0" xfId="0" applyFont="1" applyFill="1" applyBorder="1" applyAlignment="1">
      <alignment/>
    </xf>
    <xf numFmtId="169" fontId="17" fillId="32" borderId="0" xfId="0" applyNumberFormat="1" applyFont="1" applyFill="1" applyAlignment="1">
      <alignment/>
    </xf>
    <xf numFmtId="169" fontId="17" fillId="32" borderId="0" xfId="0" applyNumberFormat="1" applyFont="1" applyFill="1" applyBorder="1" applyAlignment="1">
      <alignment/>
    </xf>
    <xf numFmtId="178" fontId="17" fillId="32" borderId="0" xfId="0" applyNumberFormat="1" applyFont="1" applyFill="1" applyBorder="1" applyAlignment="1">
      <alignment/>
    </xf>
    <xf numFmtId="189" fontId="12" fillId="33" borderId="0" xfId="0" applyNumberFormat="1" applyFont="1" applyFill="1" applyAlignment="1">
      <alignment/>
    </xf>
    <xf numFmtId="197" fontId="12" fillId="33" borderId="0" xfId="0" applyNumberFormat="1" applyFont="1" applyFill="1" applyAlignment="1">
      <alignment/>
    </xf>
    <xf numFmtId="187" fontId="12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0" fontId="87" fillId="33" borderId="0" xfId="0" applyFont="1" applyFill="1" applyBorder="1" applyAlignment="1">
      <alignment/>
    </xf>
    <xf numFmtId="0" fontId="87" fillId="33" borderId="0" xfId="0" applyFont="1" applyFill="1" applyBorder="1" applyAlignment="1">
      <alignment vertical="center"/>
    </xf>
    <xf numFmtId="0" fontId="68" fillId="33" borderId="0" xfId="0" applyFont="1" applyFill="1" applyBorder="1" applyAlignment="1">
      <alignment/>
    </xf>
    <xf numFmtId="0" fontId="87" fillId="33" borderId="0" xfId="0" applyFont="1" applyFill="1" applyBorder="1" applyAlignment="1">
      <alignment horizontal="left" indent="3"/>
    </xf>
    <xf numFmtId="0" fontId="17" fillId="33" borderId="0" xfId="0" applyFont="1" applyFill="1" applyBorder="1" applyAlignment="1">
      <alignment/>
    </xf>
    <xf numFmtId="165" fontId="2" fillId="32" borderId="0" xfId="49" applyFont="1" applyFill="1" applyBorder="1" applyAlignment="1">
      <alignment vertical="center"/>
    </xf>
    <xf numFmtId="188" fontId="2" fillId="32" borderId="0" xfId="49" applyNumberFormat="1" applyFont="1" applyFill="1" applyBorder="1" applyAlignment="1">
      <alignment vertical="center"/>
    </xf>
    <xf numFmtId="195" fontId="55" fillId="0" borderId="0" xfId="0" applyNumberFormat="1" applyFont="1" applyAlignment="1">
      <alignment/>
    </xf>
    <xf numFmtId="180" fontId="2" fillId="33" borderId="0" xfId="0" applyNumberFormat="1" applyFont="1" applyFill="1" applyBorder="1" applyAlignment="1">
      <alignment vertical="center"/>
    </xf>
    <xf numFmtId="198" fontId="2" fillId="33" borderId="0" xfId="0" applyNumberFormat="1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165" fontId="9" fillId="33" borderId="0" xfId="49" applyFont="1" applyFill="1" applyBorder="1" applyAlignment="1">
      <alignment vertical="center"/>
    </xf>
    <xf numFmtId="38" fontId="2" fillId="33" borderId="18" xfId="0" applyNumberFormat="1" applyFont="1" applyFill="1" applyBorder="1" applyAlignment="1">
      <alignment horizontal="left" vertical="center" wrapText="1" indent="1"/>
    </xf>
    <xf numFmtId="0" fontId="2" fillId="33" borderId="0" xfId="0" applyFont="1" applyFill="1" applyBorder="1" applyAlignment="1">
      <alignment vertical="center" wrapText="1"/>
    </xf>
    <xf numFmtId="170" fontId="9" fillId="32" borderId="0" xfId="49" applyNumberFormat="1" applyFont="1" applyFill="1" applyBorder="1" applyAlignment="1">
      <alignment vertical="center"/>
    </xf>
    <xf numFmtId="38" fontId="2" fillId="33" borderId="0" xfId="0" applyNumberFormat="1" applyFont="1" applyFill="1" applyBorder="1" applyAlignment="1">
      <alignment vertical="center" wrapText="1"/>
    </xf>
    <xf numFmtId="172" fontId="9" fillId="32" borderId="0" xfId="49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center" wrapText="1"/>
    </xf>
    <xf numFmtId="0" fontId="2" fillId="32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horizontal="left" vertical="center" wrapText="1"/>
    </xf>
    <xf numFmtId="165" fontId="9" fillId="32" borderId="0" xfId="0" applyNumberFormat="1" applyFont="1" applyFill="1" applyBorder="1" applyAlignment="1">
      <alignment vertical="center"/>
    </xf>
    <xf numFmtId="182" fontId="9" fillId="32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indent="1"/>
    </xf>
    <xf numFmtId="0" fontId="2" fillId="33" borderId="18" xfId="0" applyFont="1" applyFill="1" applyBorder="1" applyAlignment="1">
      <alignment horizontal="center" vertical="center"/>
    </xf>
    <xf numFmtId="187" fontId="9" fillId="33" borderId="0" xfId="49" applyNumberFormat="1" applyFont="1" applyFill="1" applyBorder="1" applyAlignment="1">
      <alignment vertical="center"/>
    </xf>
    <xf numFmtId="188" fontId="2" fillId="32" borderId="0" xfId="0" applyNumberFormat="1" applyFont="1" applyFill="1" applyBorder="1" applyAlignment="1">
      <alignment vertical="center"/>
    </xf>
    <xf numFmtId="172" fontId="11" fillId="32" borderId="0" xfId="49" applyNumberFormat="1" applyFont="1" applyFill="1" applyBorder="1" applyAlignment="1">
      <alignment vertical="center"/>
    </xf>
    <xf numFmtId="171" fontId="2" fillId="33" borderId="0" xfId="59" applyNumberFormat="1" applyFont="1" applyFill="1" applyBorder="1" applyAlignment="1">
      <alignment horizontal="left" vertical="center" indent="5"/>
    </xf>
    <xf numFmtId="188" fontId="9" fillId="32" borderId="0" xfId="0" applyNumberFormat="1" applyFont="1" applyFill="1" applyBorder="1" applyAlignment="1">
      <alignment vertical="center"/>
    </xf>
    <xf numFmtId="173" fontId="2" fillId="32" borderId="0" xfId="49" applyNumberFormat="1" applyFont="1" applyFill="1" applyBorder="1" applyAlignment="1">
      <alignment horizontal="right" vertical="center"/>
    </xf>
    <xf numFmtId="173" fontId="2" fillId="32" borderId="0" xfId="49" applyNumberFormat="1" applyFont="1" applyFill="1" applyBorder="1" applyAlignment="1">
      <alignment horizontal="right" vertical="justify"/>
    </xf>
    <xf numFmtId="173" fontId="2" fillId="32" borderId="0" xfId="0" applyNumberFormat="1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6" fillId="33" borderId="0" xfId="0" applyFont="1" applyFill="1" applyAlignment="1">
      <alignment vertical="top"/>
    </xf>
    <xf numFmtId="0" fontId="68" fillId="33" borderId="0" xfId="0" applyFont="1" applyFill="1" applyAlignment="1">
      <alignment/>
    </xf>
    <xf numFmtId="0" fontId="68" fillId="32" borderId="0" xfId="0" applyFont="1" applyFill="1" applyAlignment="1">
      <alignment/>
    </xf>
    <xf numFmtId="0" fontId="17" fillId="32" borderId="14" xfId="0" applyFont="1" applyFill="1" applyBorder="1" applyAlignment="1">
      <alignment horizontal="left" vertical="center" textRotation="255" readingOrder="1"/>
    </xf>
    <xf numFmtId="165" fontId="2" fillId="33" borderId="0" xfId="49" applyFont="1" applyFill="1" applyBorder="1" applyAlignment="1">
      <alignment vertical="center"/>
    </xf>
    <xf numFmtId="187" fontId="68" fillId="33" borderId="0" xfId="0" applyNumberFormat="1" applyFont="1" applyFill="1" applyAlignment="1">
      <alignment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4" xfId="0" applyFont="1" applyFill="1" applyBorder="1" applyAlignment="1">
      <alignment horizontal="center" vertical="center"/>
    </xf>
    <xf numFmtId="168" fontId="13" fillId="33" borderId="22" xfId="0" applyNumberFormat="1" applyFont="1" applyFill="1" applyBorder="1" applyAlignment="1">
      <alignment horizontal="center" vertical="center"/>
    </xf>
    <xf numFmtId="168" fontId="13" fillId="33" borderId="20" xfId="0" applyNumberFormat="1" applyFont="1" applyFill="1" applyBorder="1" applyAlignment="1">
      <alignment horizontal="center" vertical="center"/>
    </xf>
    <xf numFmtId="188" fontId="12" fillId="33" borderId="0" xfId="0" applyNumberFormat="1" applyFont="1" applyFill="1" applyAlignment="1">
      <alignment horizontal="center"/>
    </xf>
    <xf numFmtId="183" fontId="2" fillId="32" borderId="0" xfId="0" applyNumberFormat="1" applyFont="1" applyFill="1" applyBorder="1" applyAlignment="1">
      <alignment vertical="center"/>
    </xf>
    <xf numFmtId="0" fontId="17" fillId="32" borderId="0" xfId="0" applyFont="1" applyFill="1" applyAlignment="1">
      <alignment/>
    </xf>
    <xf numFmtId="0" fontId="24" fillId="33" borderId="0" xfId="0" applyFont="1" applyFill="1" applyAlignment="1">
      <alignment horizontal="left"/>
    </xf>
    <xf numFmtId="0" fontId="5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187" fontId="2" fillId="32" borderId="0" xfId="0" applyNumberFormat="1" applyFont="1" applyFill="1" applyBorder="1" applyAlignment="1">
      <alignment vertical="center"/>
    </xf>
    <xf numFmtId="193" fontId="17" fillId="33" borderId="0" xfId="0" applyNumberFormat="1" applyFont="1" applyFill="1" applyAlignment="1">
      <alignment/>
    </xf>
    <xf numFmtId="38" fontId="17" fillId="32" borderId="0" xfId="0" applyNumberFormat="1" applyFont="1" applyFill="1" applyAlignment="1">
      <alignment/>
    </xf>
    <xf numFmtId="185" fontId="17" fillId="32" borderId="0" xfId="0" applyNumberFormat="1" applyFont="1" applyFill="1" applyAlignment="1">
      <alignment/>
    </xf>
    <xf numFmtId="192" fontId="17" fillId="32" borderId="0" xfId="0" applyNumberFormat="1" applyFont="1" applyFill="1" applyAlignment="1">
      <alignment/>
    </xf>
    <xf numFmtId="194" fontId="17" fillId="32" borderId="0" xfId="0" applyNumberFormat="1" applyFont="1" applyFill="1" applyAlignment="1">
      <alignment/>
    </xf>
    <xf numFmtId="168" fontId="10" fillId="33" borderId="0" xfId="0" applyNumberFormat="1" applyFont="1" applyFill="1" applyBorder="1" applyAlignment="1">
      <alignment horizontal="center" vertical="center" readingOrder="1"/>
    </xf>
    <xf numFmtId="0" fontId="17" fillId="33" borderId="0" xfId="0" applyNumberFormat="1" applyFont="1" applyFill="1" applyAlignment="1">
      <alignment/>
    </xf>
    <xf numFmtId="188" fontId="17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 horizontal="center"/>
    </xf>
    <xf numFmtId="0" fontId="88" fillId="33" borderId="23" xfId="0" applyFont="1" applyFill="1" applyBorder="1" applyAlignment="1">
      <alignment horizontal="left" vertical="center" indent="1"/>
    </xf>
    <xf numFmtId="187" fontId="89" fillId="33" borderId="0" xfId="49" applyNumberFormat="1" applyFont="1" applyFill="1" applyBorder="1" applyAlignment="1">
      <alignment vertical="center"/>
    </xf>
    <xf numFmtId="181" fontId="89" fillId="33" borderId="0" xfId="49" applyNumberFormat="1" applyFont="1" applyFill="1" applyBorder="1" applyAlignment="1">
      <alignment vertical="center"/>
    </xf>
    <xf numFmtId="183" fontId="89" fillId="33" borderId="0" xfId="49" applyNumberFormat="1" applyFont="1" applyFill="1" applyBorder="1" applyAlignment="1">
      <alignment vertical="center"/>
    </xf>
    <xf numFmtId="171" fontId="89" fillId="33" borderId="0" xfId="59" applyNumberFormat="1" applyFont="1" applyFill="1" applyBorder="1" applyAlignment="1">
      <alignment horizontal="center" vertical="center"/>
    </xf>
    <xf numFmtId="182" fontId="88" fillId="33" borderId="0" xfId="0" applyNumberFormat="1" applyFont="1" applyFill="1" applyBorder="1" applyAlignment="1">
      <alignment vertical="center"/>
    </xf>
    <xf numFmtId="181" fontId="88" fillId="33" borderId="0" xfId="0" applyNumberFormat="1" applyFont="1" applyFill="1" applyBorder="1" applyAlignment="1">
      <alignment vertical="center"/>
    </xf>
    <xf numFmtId="188" fontId="88" fillId="33" borderId="0" xfId="0" applyNumberFormat="1" applyFont="1" applyFill="1" applyBorder="1" applyAlignment="1">
      <alignment vertical="center"/>
    </xf>
    <xf numFmtId="0" fontId="88" fillId="33" borderId="0" xfId="0" applyFont="1" applyFill="1" applyBorder="1" applyAlignment="1">
      <alignment vertical="center"/>
    </xf>
    <xf numFmtId="187" fontId="88" fillId="32" borderId="0" xfId="0" applyNumberFormat="1" applyFont="1" applyFill="1" applyBorder="1" applyAlignment="1">
      <alignment vertical="center"/>
    </xf>
    <xf numFmtId="0" fontId="68" fillId="33" borderId="0" xfId="0" applyFont="1" applyFill="1" applyBorder="1" applyAlignment="1">
      <alignment horizontal="left"/>
    </xf>
    <xf numFmtId="179" fontId="68" fillId="33" borderId="0" xfId="0" applyNumberFormat="1" applyFont="1" applyFill="1" applyBorder="1" applyAlignment="1">
      <alignment horizontal="left"/>
    </xf>
    <xf numFmtId="201" fontId="68" fillId="33" borderId="0" xfId="0" applyNumberFormat="1" applyFont="1" applyFill="1" applyBorder="1" applyAlignment="1">
      <alignment horizontal="left"/>
    </xf>
    <xf numFmtId="38" fontId="87" fillId="33" borderId="0" xfId="49" applyNumberFormat="1" applyFont="1" applyFill="1" applyBorder="1" applyAlignment="1">
      <alignment vertical="center"/>
    </xf>
    <xf numFmtId="38" fontId="68" fillId="33" borderId="0" xfId="0" applyNumberFormat="1" applyFont="1" applyFill="1" applyBorder="1" applyAlignment="1">
      <alignment horizontal="center"/>
    </xf>
    <xf numFmtId="196" fontId="68" fillId="33" borderId="0" xfId="0" applyNumberFormat="1" applyFont="1" applyFill="1" applyBorder="1" applyAlignment="1">
      <alignment horizontal="left"/>
    </xf>
    <xf numFmtId="193" fontId="68" fillId="33" borderId="0" xfId="0" applyNumberFormat="1" applyFont="1" applyFill="1" applyAlignment="1">
      <alignment/>
    </xf>
    <xf numFmtId="0" fontId="68" fillId="32" borderId="0" xfId="0" applyFont="1" applyFill="1" applyAlignment="1">
      <alignment horizontal="left"/>
    </xf>
    <xf numFmtId="168" fontId="68" fillId="33" borderId="0" xfId="0" applyNumberFormat="1" applyFont="1" applyFill="1" applyAlignment="1">
      <alignment/>
    </xf>
    <xf numFmtId="183" fontId="68" fillId="33" borderId="0" xfId="0" applyNumberFormat="1" applyFont="1" applyFill="1" applyAlignment="1">
      <alignment/>
    </xf>
    <xf numFmtId="176" fontId="68" fillId="33" borderId="0" xfId="0" applyNumberFormat="1" applyFont="1" applyFill="1" applyAlignment="1">
      <alignment/>
    </xf>
    <xf numFmtId="165" fontId="68" fillId="33" borderId="0" xfId="49" applyFont="1" applyFill="1" applyAlignment="1">
      <alignment/>
    </xf>
    <xf numFmtId="0" fontId="87" fillId="33" borderId="0" xfId="0" applyNumberFormat="1" applyFont="1" applyFill="1" applyAlignment="1">
      <alignment horizontal="center"/>
    </xf>
    <xf numFmtId="0" fontId="9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2" borderId="0" xfId="0" applyFont="1" applyFill="1" applyAlignment="1">
      <alignment/>
    </xf>
    <xf numFmtId="165" fontId="0" fillId="33" borderId="0" xfId="49" applyFont="1" applyFill="1" applyAlignment="1">
      <alignment/>
    </xf>
    <xf numFmtId="0" fontId="13" fillId="33" borderId="12" xfId="0" applyFont="1" applyFill="1" applyBorder="1" applyAlignment="1">
      <alignment vertical="center"/>
    </xf>
    <xf numFmtId="177" fontId="91" fillId="33" borderId="0" xfId="0" applyNumberFormat="1" applyFont="1" applyFill="1" applyAlignment="1">
      <alignment horizontal="center" vertical="center"/>
    </xf>
    <xf numFmtId="177" fontId="92" fillId="33" borderId="0" xfId="0" applyNumberFormat="1" applyFont="1" applyFill="1" applyAlignment="1">
      <alignment horizontal="center" vertical="center"/>
    </xf>
    <xf numFmtId="38" fontId="13" fillId="33" borderId="17" xfId="49" applyNumberFormat="1" applyFont="1" applyFill="1" applyBorder="1" applyAlignment="1">
      <alignment horizontal="right" vertical="center" indent="2"/>
    </xf>
    <xf numFmtId="38" fontId="12" fillId="32" borderId="17" xfId="49" applyNumberFormat="1" applyFont="1" applyFill="1" applyBorder="1" applyAlignment="1">
      <alignment horizontal="right" vertical="center" indent="2"/>
    </xf>
    <xf numFmtId="38" fontId="10" fillId="32" borderId="17" xfId="49" applyNumberFormat="1" applyFont="1" applyFill="1" applyBorder="1" applyAlignment="1">
      <alignment horizontal="right" vertical="center" indent="2"/>
    </xf>
    <xf numFmtId="3" fontId="13" fillId="32" borderId="17" xfId="49" applyNumberFormat="1" applyFont="1" applyFill="1" applyBorder="1" applyAlignment="1">
      <alignment horizontal="right" vertical="center" indent="2"/>
    </xf>
    <xf numFmtId="3" fontId="10" fillId="32" borderId="17" xfId="49" applyNumberFormat="1" applyFont="1" applyFill="1" applyBorder="1" applyAlignment="1">
      <alignment horizontal="right" vertical="center" indent="2"/>
    </xf>
    <xf numFmtId="3" fontId="12" fillId="32" borderId="17" xfId="49" applyNumberFormat="1" applyFont="1" applyFill="1" applyBorder="1" applyAlignment="1">
      <alignment horizontal="right" vertical="center" indent="2"/>
    </xf>
    <xf numFmtId="0" fontId="28" fillId="33" borderId="0" xfId="46" applyFont="1" applyFill="1" applyAlignment="1" applyProtection="1">
      <alignment vertical="center"/>
      <protection/>
    </xf>
    <xf numFmtId="185" fontId="17" fillId="33" borderId="0" xfId="0" applyNumberFormat="1" applyFont="1" applyFill="1" applyAlignment="1">
      <alignment/>
    </xf>
    <xf numFmtId="168" fontId="13" fillId="33" borderId="12" xfId="0" applyNumberFormat="1" applyFont="1" applyFill="1" applyBorder="1" applyAlignment="1">
      <alignment horizontal="right" vertical="center" indent="2" readingOrder="1"/>
    </xf>
    <xf numFmtId="168" fontId="12" fillId="33" borderId="12" xfId="0" applyNumberFormat="1" applyFont="1" applyFill="1" applyBorder="1" applyAlignment="1">
      <alignment horizontal="right" vertical="center" indent="2" readingOrder="1"/>
    </xf>
    <xf numFmtId="168" fontId="10" fillId="33" borderId="13" xfId="0" applyNumberFormat="1" applyFont="1" applyFill="1" applyBorder="1" applyAlignment="1">
      <alignment horizontal="right" vertical="center" wrapText="1" indent="2" readingOrder="1"/>
    </xf>
    <xf numFmtId="168" fontId="11" fillId="33" borderId="12" xfId="0" applyNumberFormat="1" applyFont="1" applyFill="1" applyBorder="1" applyAlignment="1">
      <alignment horizontal="right" indent="2" readingOrder="1"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/>
    </xf>
    <xf numFmtId="3" fontId="13" fillId="33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indent="2" readingOrder="1"/>
    </xf>
    <xf numFmtId="3" fontId="12" fillId="32" borderId="12" xfId="0" applyNumberFormat="1" applyFont="1" applyFill="1" applyBorder="1" applyAlignment="1">
      <alignment horizontal="right" vertical="center" indent="2" readingOrder="1"/>
    </xf>
    <xf numFmtId="3" fontId="11" fillId="32" borderId="12" xfId="0" applyNumberFormat="1" applyFont="1" applyFill="1" applyBorder="1" applyAlignment="1">
      <alignment horizontal="right" indent="2" readingOrder="1"/>
    </xf>
    <xf numFmtId="0" fontId="5" fillId="33" borderId="0" xfId="0" applyFont="1" applyFill="1" applyAlignment="1" applyProtection="1">
      <alignment vertical="center"/>
      <protection/>
    </xf>
    <xf numFmtId="3" fontId="13" fillId="33" borderId="12" xfId="0" applyNumberFormat="1" applyFont="1" applyFill="1" applyBorder="1" applyAlignment="1">
      <alignment horizontal="right" indent="2" readingOrder="1"/>
    </xf>
    <xf numFmtId="3" fontId="11" fillId="32" borderId="13" xfId="0" applyNumberFormat="1" applyFont="1" applyFill="1" applyBorder="1" applyAlignment="1">
      <alignment horizontal="right" indent="2" readingOrder="1"/>
    </xf>
    <xf numFmtId="3" fontId="11" fillId="32" borderId="17" xfId="0" applyNumberFormat="1" applyFont="1" applyFill="1" applyBorder="1" applyAlignment="1">
      <alignment horizontal="right" indent="2" readingOrder="1"/>
    </xf>
    <xf numFmtId="3" fontId="11" fillId="32" borderId="21" xfId="0" applyNumberFormat="1" applyFont="1" applyFill="1" applyBorder="1" applyAlignment="1">
      <alignment horizontal="right" indent="2" readingOrder="1"/>
    </xf>
    <xf numFmtId="0" fontId="12" fillId="33" borderId="14" xfId="0" applyFont="1" applyFill="1" applyBorder="1" applyAlignment="1">
      <alignment horizontal="left" vertical="center" wrapText="1" indent="4" readingOrder="1"/>
    </xf>
    <xf numFmtId="0" fontId="5" fillId="32" borderId="14" xfId="0" applyFont="1" applyFill="1" applyBorder="1" applyAlignment="1">
      <alignment horizontal="left" vertical="center" wrapText="1" indent="5" readingOrder="1"/>
    </xf>
    <xf numFmtId="3" fontId="11" fillId="33" borderId="12" xfId="0" applyNumberFormat="1" applyFont="1" applyFill="1" applyBorder="1" applyAlignment="1">
      <alignment horizontal="right" indent="2" readingOrder="1"/>
    </xf>
    <xf numFmtId="3" fontId="5" fillId="32" borderId="12" xfId="0" applyNumberFormat="1" applyFont="1" applyFill="1" applyBorder="1" applyAlignment="1">
      <alignment horizontal="right" indent="2" readingOrder="1"/>
    </xf>
    <xf numFmtId="3" fontId="5" fillId="33" borderId="14" xfId="0" applyNumberFormat="1" applyFont="1" applyFill="1" applyBorder="1" applyAlignment="1">
      <alignment horizontal="right" vertical="center" indent="2" readingOrder="1"/>
    </xf>
    <xf numFmtId="3" fontId="10" fillId="33" borderId="14" xfId="0" applyNumberFormat="1" applyFont="1" applyFill="1" applyBorder="1" applyAlignment="1">
      <alignment horizontal="right" vertical="center" indent="2" readingOrder="1"/>
    </xf>
    <xf numFmtId="3" fontId="11" fillId="33" borderId="14" xfId="0" applyNumberFormat="1" applyFont="1" applyFill="1" applyBorder="1" applyAlignment="1">
      <alignment horizontal="right" vertical="center" indent="2" readingOrder="1"/>
    </xf>
    <xf numFmtId="3" fontId="12" fillId="33" borderId="14" xfId="0" applyNumberFormat="1" applyFont="1" applyFill="1" applyBorder="1" applyAlignment="1">
      <alignment horizontal="right" vertical="center" indent="2" readingOrder="1"/>
    </xf>
    <xf numFmtId="3" fontId="10" fillId="33" borderId="12" xfId="0" applyNumberFormat="1" applyFont="1" applyFill="1" applyBorder="1" applyAlignment="1">
      <alignment horizontal="right" vertical="center" indent="2" readingOrder="1"/>
    </xf>
    <xf numFmtId="3" fontId="11" fillId="33" borderId="12" xfId="0" applyNumberFormat="1" applyFont="1" applyFill="1" applyBorder="1" applyAlignment="1">
      <alignment horizontal="right" vertical="center" indent="2" readingOrder="1"/>
    </xf>
    <xf numFmtId="3" fontId="5" fillId="33" borderId="12" xfId="0" applyNumberFormat="1" applyFont="1" applyFill="1" applyBorder="1" applyAlignment="1">
      <alignment horizontal="right" vertical="center" indent="2" readingOrder="1"/>
    </xf>
    <xf numFmtId="3" fontId="10" fillId="0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vertical="center" indent="2" readingOrder="1"/>
    </xf>
    <xf numFmtId="3" fontId="11" fillId="33" borderId="13" xfId="0" applyNumberFormat="1" applyFont="1" applyFill="1" applyBorder="1" applyAlignment="1">
      <alignment horizontal="right" vertical="center" indent="2" readingOrder="1"/>
    </xf>
    <xf numFmtId="0" fontId="12" fillId="32" borderId="12" xfId="0" applyFont="1" applyFill="1" applyBorder="1" applyAlignment="1">
      <alignment horizontal="left" vertical="center" wrapText="1" indent="2" readingOrder="1"/>
    </xf>
    <xf numFmtId="0" fontId="11" fillId="33" borderId="14" xfId="0" applyFont="1" applyFill="1" applyBorder="1" applyAlignment="1">
      <alignment horizontal="left" vertical="center" indent="5" readingOrder="1"/>
    </xf>
    <xf numFmtId="0" fontId="10" fillId="33" borderId="14" xfId="0" applyFont="1" applyFill="1" applyBorder="1" applyAlignment="1">
      <alignment horizontal="left" vertical="center" indent="4" readingOrder="1"/>
    </xf>
    <xf numFmtId="0" fontId="5" fillId="33" borderId="0" xfId="0" applyFont="1" applyFill="1" applyAlignment="1" applyProtection="1">
      <alignment horizontal="left"/>
      <protection/>
    </xf>
    <xf numFmtId="38" fontId="11" fillId="33" borderId="12" xfId="49" applyNumberFormat="1" applyFont="1" applyFill="1" applyBorder="1" applyAlignment="1">
      <alignment horizontal="right" vertical="center" indent="2"/>
    </xf>
    <xf numFmtId="38" fontId="12" fillId="33" borderId="12" xfId="49" applyNumberFormat="1" applyFont="1" applyFill="1" applyBorder="1" applyAlignment="1">
      <alignment horizontal="right" vertical="center" indent="2"/>
    </xf>
    <xf numFmtId="38" fontId="11" fillId="33" borderId="17" xfId="49" applyNumberFormat="1" applyFont="1" applyFill="1" applyBorder="1" applyAlignment="1">
      <alignment horizontal="right" vertical="center" indent="2"/>
    </xf>
    <xf numFmtId="38" fontId="12" fillId="33" borderId="17" xfId="49" applyNumberFormat="1" applyFont="1" applyFill="1" applyBorder="1" applyAlignment="1">
      <alignment horizontal="right" vertical="center" indent="2"/>
    </xf>
    <xf numFmtId="3" fontId="12" fillId="33" borderId="0" xfId="49" applyNumberFormat="1" applyFont="1" applyFill="1" applyBorder="1" applyAlignment="1">
      <alignment horizontal="right" indent="1"/>
    </xf>
    <xf numFmtId="3" fontId="12" fillId="33" borderId="17" xfId="49" applyNumberFormat="1" applyFont="1" applyFill="1" applyBorder="1" applyAlignment="1">
      <alignment horizontal="right" indent="1"/>
    </xf>
    <xf numFmtId="3" fontId="12" fillId="33" borderId="14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right" indent="1"/>
      <protection/>
    </xf>
    <xf numFmtId="0" fontId="13" fillId="33" borderId="22" xfId="0" applyFont="1" applyFill="1" applyBorder="1" applyAlignment="1" applyProtection="1">
      <alignment horizontal="right" indent="1"/>
      <protection/>
    </xf>
    <xf numFmtId="1" fontId="13" fillId="33" borderId="11" xfId="0" applyNumberFormat="1" applyFont="1" applyFill="1" applyBorder="1" applyAlignment="1" applyProtection="1">
      <alignment horizontal="right" indent="1"/>
      <protection/>
    </xf>
    <xf numFmtId="3" fontId="12" fillId="33" borderId="15" xfId="0" applyNumberFormat="1" applyFont="1" applyFill="1" applyBorder="1" applyAlignment="1">
      <alignment horizontal="right" indent="1"/>
    </xf>
    <xf numFmtId="3" fontId="12" fillId="33" borderId="20" xfId="0" applyNumberFormat="1" applyFont="1" applyFill="1" applyBorder="1" applyAlignment="1">
      <alignment horizontal="right" indent="1"/>
    </xf>
    <xf numFmtId="3" fontId="12" fillId="33" borderId="21" xfId="0" applyNumberFormat="1" applyFont="1" applyFill="1" applyBorder="1" applyAlignment="1">
      <alignment horizontal="right" indent="1"/>
    </xf>
    <xf numFmtId="203" fontId="2" fillId="33" borderId="0" xfId="49" applyNumberFormat="1" applyFont="1" applyFill="1" applyBorder="1" applyAlignment="1">
      <alignment vertical="center"/>
    </xf>
    <xf numFmtId="203" fontId="6" fillId="33" borderId="25" xfId="49" applyNumberFormat="1" applyFont="1" applyFill="1" applyBorder="1" applyAlignment="1">
      <alignment vertical="center"/>
    </xf>
    <xf numFmtId="203" fontId="2" fillId="33" borderId="0" xfId="49" applyNumberFormat="1" applyFont="1" applyFill="1" applyBorder="1" applyAlignment="1">
      <alignment horizontal="right" vertical="center"/>
    </xf>
    <xf numFmtId="203" fontId="6" fillId="33" borderId="25" xfId="49" applyNumberFormat="1" applyFont="1" applyFill="1" applyBorder="1" applyAlignment="1">
      <alignment horizontal="right" vertical="center"/>
    </xf>
    <xf numFmtId="0" fontId="29" fillId="33" borderId="0" xfId="0" applyFont="1" applyFill="1" applyBorder="1" applyAlignment="1">
      <alignment horizontal="right" vertical="center"/>
    </xf>
    <xf numFmtId="0" fontId="5" fillId="33" borderId="0" xfId="56" applyFont="1" applyFill="1" applyAlignment="1">
      <alignment vertical="center"/>
      <protection/>
    </xf>
    <xf numFmtId="0" fontId="93" fillId="32" borderId="0" xfId="46" applyFont="1" applyFill="1" applyAlignment="1" applyProtection="1">
      <alignment/>
      <protection/>
    </xf>
    <xf numFmtId="0" fontId="29" fillId="33" borderId="26" xfId="0" applyFont="1" applyFill="1" applyBorder="1" applyAlignment="1">
      <alignment horizontal="right" vertical="center" indent="3"/>
    </xf>
    <xf numFmtId="203" fontId="2" fillId="33" borderId="0" xfId="0" applyNumberFormat="1" applyFont="1" applyFill="1" applyBorder="1" applyAlignment="1">
      <alignment vertical="center"/>
    </xf>
    <xf numFmtId="203" fontId="6" fillId="33" borderId="25" xfId="0" applyNumberFormat="1" applyFont="1" applyFill="1" applyBorder="1" applyAlignment="1">
      <alignment vertical="center"/>
    </xf>
    <xf numFmtId="0" fontId="29" fillId="33" borderId="27" xfId="0" applyFont="1" applyFill="1" applyBorder="1" applyAlignment="1">
      <alignment horizontal="right" vertical="center" indent="3"/>
    </xf>
    <xf numFmtId="0" fontId="5" fillId="33" borderId="14" xfId="0" applyFont="1" applyFill="1" applyBorder="1" applyAlignment="1">
      <alignment horizontal="left" vertical="center" indent="3" readingOrder="1"/>
    </xf>
    <xf numFmtId="0" fontId="5" fillId="33" borderId="14" xfId="0" applyFont="1" applyFill="1" applyBorder="1" applyAlignment="1">
      <alignment horizontal="left" vertical="center" readingOrder="1"/>
    </xf>
    <xf numFmtId="0" fontId="10" fillId="33" borderId="14" xfId="0" applyFont="1" applyFill="1" applyBorder="1" applyAlignment="1">
      <alignment horizontal="left" vertical="center" indent="2" readingOrder="1"/>
    </xf>
    <xf numFmtId="0" fontId="5" fillId="33" borderId="14" xfId="0" applyFont="1" applyFill="1" applyBorder="1" applyAlignment="1">
      <alignment horizontal="left" vertical="center" indent="2" readingOrder="1"/>
    </xf>
    <xf numFmtId="0" fontId="10" fillId="0" borderId="14" xfId="0" applyFont="1" applyFill="1" applyBorder="1" applyAlignment="1">
      <alignment horizontal="left" vertical="center" indent="4" readingOrder="1"/>
    </xf>
    <xf numFmtId="0" fontId="12" fillId="33" borderId="14" xfId="0" applyFont="1" applyFill="1" applyBorder="1" applyAlignment="1">
      <alignment horizontal="left" vertical="center" indent="2" readingOrder="1"/>
    </xf>
    <xf numFmtId="0" fontId="11" fillId="33" borderId="14" xfId="0" applyFont="1" applyFill="1" applyBorder="1" applyAlignment="1">
      <alignment horizontal="left" vertical="center" indent="2" readingOrder="1"/>
    </xf>
    <xf numFmtId="0" fontId="10" fillId="33" borderId="14" xfId="0" applyFont="1" applyFill="1" applyBorder="1" applyAlignment="1">
      <alignment horizontal="left" vertical="center" indent="3" readingOrder="1"/>
    </xf>
    <xf numFmtId="0" fontId="2" fillId="33" borderId="18" xfId="0" applyFont="1" applyFill="1" applyBorder="1" applyAlignment="1">
      <alignment horizontal="left" vertical="center" wrapText="1" indent="1"/>
    </xf>
    <xf numFmtId="0" fontId="29" fillId="33" borderId="18" xfId="0" applyFont="1" applyFill="1" applyBorder="1" applyAlignment="1">
      <alignment horizontal="center" vertical="center"/>
    </xf>
    <xf numFmtId="203" fontId="2" fillId="33" borderId="25" xfId="49" applyNumberFormat="1" applyFont="1" applyFill="1" applyBorder="1" applyAlignment="1">
      <alignment vertical="center"/>
    </xf>
    <xf numFmtId="0" fontId="29" fillId="33" borderId="26" xfId="0" applyFont="1" applyFill="1" applyBorder="1" applyAlignment="1">
      <alignment horizontal="right" vertical="center" indent="2"/>
    </xf>
    <xf numFmtId="203" fontId="6" fillId="33" borderId="26" xfId="49" applyNumberFormat="1" applyFont="1" applyFill="1" applyBorder="1" applyAlignment="1">
      <alignment horizontal="right" vertical="center" indent="2"/>
    </xf>
    <xf numFmtId="203" fontId="6" fillId="33" borderId="28" xfId="49" applyNumberFormat="1" applyFont="1" applyFill="1" applyBorder="1" applyAlignment="1">
      <alignment horizontal="right" vertical="center" indent="2"/>
    </xf>
    <xf numFmtId="0" fontId="11" fillId="33" borderId="14" xfId="0" applyFont="1" applyFill="1" applyBorder="1" applyAlignment="1">
      <alignment horizontal="left" indent="4"/>
    </xf>
    <xf numFmtId="189" fontId="81" fillId="33" borderId="0" xfId="0" applyNumberFormat="1" applyFont="1" applyFill="1" applyAlignment="1">
      <alignment/>
    </xf>
    <xf numFmtId="0" fontId="81" fillId="32" borderId="0" xfId="0" applyFont="1" applyFill="1" applyAlignment="1">
      <alignment/>
    </xf>
    <xf numFmtId="182" fontId="81" fillId="33" borderId="0" xfId="0" applyNumberFormat="1" applyFont="1" applyFill="1" applyAlignment="1">
      <alignment/>
    </xf>
    <xf numFmtId="181" fontId="81" fillId="33" borderId="0" xfId="0" applyNumberFormat="1" applyFont="1" applyFill="1" applyAlignment="1">
      <alignment/>
    </xf>
    <xf numFmtId="184" fontId="86" fillId="32" borderId="0" xfId="0" applyNumberFormat="1" applyFont="1" applyFill="1" applyBorder="1" applyAlignment="1">
      <alignment horizontal="right" indent="3" readingOrder="1"/>
    </xf>
    <xf numFmtId="0" fontId="94" fillId="32" borderId="0" xfId="0" applyFont="1" applyFill="1" applyBorder="1" applyAlignment="1">
      <alignment horizontal="left" vertical="center" wrapText="1" readingOrder="1"/>
    </xf>
    <xf numFmtId="169" fontId="94" fillId="32" borderId="0" xfId="0" applyNumberFormat="1" applyFont="1" applyFill="1" applyBorder="1" applyAlignment="1">
      <alignment horizontal="left" vertical="center" wrapText="1" readingOrder="1"/>
    </xf>
    <xf numFmtId="188" fontId="94" fillId="32" borderId="0" xfId="0" applyNumberFormat="1" applyFont="1" applyFill="1" applyBorder="1" applyAlignment="1">
      <alignment horizontal="left" vertical="center" wrapText="1" readingOrder="1"/>
    </xf>
    <xf numFmtId="188" fontId="81" fillId="32" borderId="0" xfId="0" applyNumberFormat="1" applyFont="1" applyFill="1" applyAlignment="1">
      <alignment/>
    </xf>
    <xf numFmtId="180" fontId="81" fillId="32" borderId="0" xfId="0" applyNumberFormat="1" applyFont="1" applyFill="1" applyAlignment="1">
      <alignment/>
    </xf>
    <xf numFmtId="0" fontId="81" fillId="33" borderId="0" xfId="0" applyFont="1" applyFill="1" applyAlignment="1">
      <alignment/>
    </xf>
    <xf numFmtId="168" fontId="81" fillId="33" borderId="0" xfId="0" applyNumberFormat="1" applyFont="1" applyFill="1" applyAlignment="1">
      <alignment/>
    </xf>
    <xf numFmtId="184" fontId="81" fillId="33" borderId="0" xfId="0" applyNumberFormat="1" applyFont="1" applyFill="1" applyAlignment="1">
      <alignment/>
    </xf>
    <xf numFmtId="188" fontId="81" fillId="33" borderId="0" xfId="0" applyNumberFormat="1" applyFont="1" applyFill="1" applyAlignment="1">
      <alignment/>
    </xf>
    <xf numFmtId="199" fontId="81" fillId="33" borderId="0" xfId="0" applyNumberFormat="1" applyFont="1" applyFill="1" applyAlignment="1">
      <alignment/>
    </xf>
    <xf numFmtId="0" fontId="95" fillId="33" borderId="0" xfId="0" applyFont="1" applyFill="1" applyAlignment="1">
      <alignment vertical="center"/>
    </xf>
    <xf numFmtId="185" fontId="86" fillId="33" borderId="0" xfId="49" applyNumberFormat="1" applyFont="1" applyFill="1" applyBorder="1" applyAlignment="1">
      <alignment vertical="center"/>
    </xf>
    <xf numFmtId="0" fontId="96" fillId="33" borderId="0" xfId="0" applyFont="1" applyFill="1" applyAlignment="1">
      <alignment/>
    </xf>
    <xf numFmtId="0" fontId="86" fillId="33" borderId="0" xfId="0" applyFont="1" applyFill="1" applyAlignment="1">
      <alignment/>
    </xf>
    <xf numFmtId="185" fontId="86" fillId="33" borderId="0" xfId="0" applyNumberFormat="1" applyFont="1" applyFill="1" applyAlignment="1">
      <alignment/>
    </xf>
    <xf numFmtId="202" fontId="86" fillId="33" borderId="0" xfId="0" applyNumberFormat="1" applyFont="1" applyFill="1" applyAlignment="1">
      <alignment/>
    </xf>
    <xf numFmtId="193" fontId="86" fillId="33" borderId="0" xfId="0" applyNumberFormat="1" applyFont="1" applyFill="1" applyAlignment="1">
      <alignment/>
    </xf>
    <xf numFmtId="180" fontId="86" fillId="33" borderId="0" xfId="0" applyNumberFormat="1" applyFont="1" applyFill="1" applyAlignment="1">
      <alignment/>
    </xf>
    <xf numFmtId="194" fontId="86" fillId="33" borderId="0" xfId="0" applyNumberFormat="1" applyFont="1" applyFill="1" applyAlignment="1">
      <alignment/>
    </xf>
    <xf numFmtId="38" fontId="86" fillId="33" borderId="0" xfId="0" applyNumberFormat="1" applyFont="1" applyFill="1" applyAlignment="1">
      <alignment/>
    </xf>
    <xf numFmtId="186" fontId="86" fillId="33" borderId="0" xfId="0" applyNumberFormat="1" applyFont="1" applyFill="1" applyAlignment="1">
      <alignment/>
    </xf>
    <xf numFmtId="168" fontId="86" fillId="33" borderId="0" xfId="0" applyNumberFormat="1" applyFont="1" applyFill="1" applyAlignment="1">
      <alignment/>
    </xf>
    <xf numFmtId="168" fontId="97" fillId="33" borderId="0" xfId="0" applyNumberFormat="1" applyFont="1" applyFill="1" applyAlignment="1">
      <alignment/>
    </xf>
    <xf numFmtId="0" fontId="98" fillId="33" borderId="0" xfId="0" applyFont="1" applyFill="1" applyAlignment="1">
      <alignment vertical="center"/>
    </xf>
    <xf numFmtId="191" fontId="94" fillId="33" borderId="0" xfId="0" applyNumberFormat="1" applyFont="1" applyFill="1" applyAlignment="1">
      <alignment horizontal="center"/>
    </xf>
    <xf numFmtId="1" fontId="94" fillId="33" borderId="0" xfId="0" applyNumberFormat="1" applyFont="1" applyFill="1" applyAlignment="1">
      <alignment horizontal="center"/>
    </xf>
    <xf numFmtId="182" fontId="94" fillId="33" borderId="0" xfId="0" applyNumberFormat="1" applyFont="1" applyFill="1" applyAlignment="1">
      <alignment horizontal="center"/>
    </xf>
    <xf numFmtId="187" fontId="94" fillId="33" borderId="0" xfId="0" applyNumberFormat="1" applyFont="1" applyFill="1" applyAlignment="1">
      <alignment horizontal="center"/>
    </xf>
    <xf numFmtId="168" fontId="94" fillId="33" borderId="0" xfId="0" applyNumberFormat="1" applyFont="1" applyFill="1" applyAlignment="1">
      <alignment horizontal="center"/>
    </xf>
    <xf numFmtId="168" fontId="94" fillId="33" borderId="0" xfId="0" applyNumberFormat="1" applyFont="1" applyFill="1" applyAlignment="1">
      <alignment/>
    </xf>
    <xf numFmtId="181" fontId="94" fillId="33" borderId="0" xfId="0" applyNumberFormat="1" applyFont="1" applyFill="1" applyAlignment="1">
      <alignment horizontal="center"/>
    </xf>
    <xf numFmtId="184" fontId="94" fillId="33" borderId="0" xfId="0" applyNumberFormat="1" applyFont="1" applyFill="1" applyAlignment="1">
      <alignment horizontal="center"/>
    </xf>
    <xf numFmtId="0" fontId="86" fillId="33" borderId="0" xfId="0" applyNumberFormat="1" applyFont="1" applyFill="1" applyAlignment="1">
      <alignment horizontal="center"/>
    </xf>
    <xf numFmtId="168" fontId="94" fillId="33" borderId="0" xfId="0" applyNumberFormat="1" applyFont="1" applyFill="1" applyAlignment="1">
      <alignment horizontal="right" indent="4"/>
    </xf>
    <xf numFmtId="168" fontId="86" fillId="33" borderId="0" xfId="0" applyNumberFormat="1" applyFont="1" applyFill="1" applyAlignment="1">
      <alignment horizontal="center"/>
    </xf>
    <xf numFmtId="181" fontId="86" fillId="33" borderId="0" xfId="0" applyNumberFormat="1" applyFont="1" applyFill="1" applyAlignment="1">
      <alignment horizontal="center"/>
    </xf>
    <xf numFmtId="182" fontId="86" fillId="33" borderId="0" xfId="49" applyNumberFormat="1" applyFont="1" applyFill="1" applyAlignment="1">
      <alignment horizontal="center"/>
    </xf>
    <xf numFmtId="187" fontId="86" fillId="33" borderId="0" xfId="0" applyNumberFormat="1" applyFont="1" applyFill="1" applyAlignment="1">
      <alignment horizontal="center"/>
    </xf>
    <xf numFmtId="180" fontId="86" fillId="33" borderId="0" xfId="0" applyNumberFormat="1" applyFont="1" applyFill="1" applyAlignment="1">
      <alignment horizontal="center"/>
    </xf>
    <xf numFmtId="168" fontId="86" fillId="33" borderId="0" xfId="0" applyNumberFormat="1" applyFont="1" applyFill="1" applyAlignment="1">
      <alignment horizontal="right" indent="4"/>
    </xf>
    <xf numFmtId="0" fontId="10" fillId="32" borderId="14" xfId="0" applyFont="1" applyFill="1" applyBorder="1" applyAlignment="1">
      <alignment horizontal="left" vertical="center" indent="5" readingOrder="1"/>
    </xf>
    <xf numFmtId="15" fontId="13" fillId="33" borderId="10" xfId="0" applyNumberFormat="1" applyFont="1" applyFill="1" applyBorder="1" applyAlignment="1" applyProtection="1">
      <alignment vertical="center"/>
      <protection/>
    </xf>
    <xf numFmtId="192" fontId="81" fillId="33" borderId="0" xfId="0" applyNumberFormat="1" applyFont="1" applyFill="1" applyAlignment="1">
      <alignment/>
    </xf>
    <xf numFmtId="171" fontId="2" fillId="33" borderId="26" xfId="59" applyNumberFormat="1" applyFont="1" applyFill="1" applyBorder="1" applyAlignment="1">
      <alignment horizontal="right" vertical="center" indent="2"/>
    </xf>
    <xf numFmtId="171" fontId="6" fillId="33" borderId="28" xfId="59" applyNumberFormat="1" applyFont="1" applyFill="1" applyBorder="1" applyAlignment="1">
      <alignment horizontal="right" vertical="center" indent="2"/>
    </xf>
    <xf numFmtId="171" fontId="2" fillId="33" borderId="26" xfId="0" applyNumberFormat="1" applyFont="1" applyFill="1" applyBorder="1" applyAlignment="1">
      <alignment horizontal="right" vertical="center" indent="2"/>
    </xf>
    <xf numFmtId="171" fontId="6" fillId="33" borderId="28" xfId="0" applyNumberFormat="1" applyFont="1" applyFill="1" applyBorder="1" applyAlignment="1">
      <alignment horizontal="right" vertical="center" indent="2"/>
    </xf>
    <xf numFmtId="165" fontId="81" fillId="33" borderId="0" xfId="49" applyFont="1" applyFill="1" applyAlignment="1">
      <alignment/>
    </xf>
    <xf numFmtId="3" fontId="17" fillId="33" borderId="0" xfId="0" applyNumberFormat="1" applyFont="1" applyFill="1" applyAlignment="1">
      <alignment/>
    </xf>
    <xf numFmtId="204" fontId="17" fillId="32" borderId="0" xfId="0" applyNumberFormat="1" applyFont="1" applyFill="1" applyAlignment="1">
      <alignment/>
    </xf>
    <xf numFmtId="169" fontId="81" fillId="32" borderId="0" xfId="0" applyNumberFormat="1" applyFont="1" applyFill="1" applyAlignment="1">
      <alignment/>
    </xf>
    <xf numFmtId="0" fontId="30" fillId="33" borderId="0" xfId="46" applyFont="1" applyFill="1" applyAlignment="1" applyProtection="1">
      <alignment/>
      <protection/>
    </xf>
    <xf numFmtId="0" fontId="0" fillId="32" borderId="0" xfId="0" applyFont="1" applyFill="1" applyAlignment="1">
      <alignment/>
    </xf>
    <xf numFmtId="205" fontId="81" fillId="33" borderId="0" xfId="49" applyNumberFormat="1" applyFont="1" applyFill="1" applyAlignment="1">
      <alignment/>
    </xf>
    <xf numFmtId="205" fontId="81" fillId="33" borderId="0" xfId="0" applyNumberFormat="1" applyFont="1" applyFill="1" applyAlignment="1">
      <alignment/>
    </xf>
    <xf numFmtId="0" fontId="17" fillId="33" borderId="0" xfId="0" applyFont="1" applyFill="1" applyBorder="1" applyAlignment="1">
      <alignment/>
    </xf>
    <xf numFmtId="206" fontId="17" fillId="33" borderId="0" xfId="0" applyNumberFormat="1" applyFont="1" applyFill="1" applyAlignment="1">
      <alignment/>
    </xf>
    <xf numFmtId="3" fontId="81" fillId="33" borderId="0" xfId="0" applyNumberFormat="1" applyFont="1" applyFill="1" applyAlignment="1">
      <alignment/>
    </xf>
    <xf numFmtId="206" fontId="2" fillId="33" borderId="0" xfId="0" applyNumberFormat="1" applyFont="1" applyFill="1" applyBorder="1" applyAlignment="1">
      <alignment vertical="center"/>
    </xf>
    <xf numFmtId="1" fontId="2" fillId="33" borderId="18" xfId="0" applyNumberFormat="1" applyFont="1" applyFill="1" applyBorder="1" applyAlignment="1">
      <alignment horizontal="center" vertical="center"/>
    </xf>
    <xf numFmtId="192" fontId="9" fillId="32" borderId="0" xfId="0" applyNumberFormat="1" applyFont="1" applyFill="1" applyAlignment="1">
      <alignment/>
    </xf>
    <xf numFmtId="0" fontId="11" fillId="0" borderId="0" xfId="0" applyFont="1" applyFill="1" applyAlignment="1">
      <alignment vertical="center"/>
    </xf>
    <xf numFmtId="3" fontId="12" fillId="0" borderId="12" xfId="0" applyNumberFormat="1" applyFont="1" applyFill="1" applyBorder="1" applyAlignment="1">
      <alignment horizontal="right" vertical="center" indent="2" readingOrder="1"/>
    </xf>
    <xf numFmtId="0" fontId="11" fillId="32" borderId="0" xfId="0" applyFont="1" applyFill="1" applyAlignment="1">
      <alignment/>
    </xf>
    <xf numFmtId="38" fontId="17" fillId="32" borderId="0" xfId="0" applyNumberFormat="1" applyFont="1" applyFill="1" applyAlignment="1">
      <alignment horizontal="left"/>
    </xf>
    <xf numFmtId="196" fontId="2" fillId="32" borderId="0" xfId="0" applyNumberFormat="1" applyFont="1" applyFill="1" applyBorder="1" applyAlignment="1">
      <alignment vertical="center" wrapText="1" readingOrder="1"/>
    </xf>
    <xf numFmtId="0" fontId="2" fillId="32" borderId="0" xfId="0" applyFont="1" applyFill="1" applyBorder="1" applyAlignment="1">
      <alignment vertical="center" readingOrder="1"/>
    </xf>
    <xf numFmtId="0" fontId="11" fillId="33" borderId="12" xfId="0" applyFont="1" applyFill="1" applyBorder="1" applyAlignment="1">
      <alignment horizontal="left" indent="4"/>
    </xf>
    <xf numFmtId="0" fontId="12" fillId="33" borderId="12" xfId="0" applyFont="1" applyFill="1" applyBorder="1" applyAlignment="1">
      <alignment horizontal="left" indent="3"/>
    </xf>
    <xf numFmtId="0" fontId="5" fillId="33" borderId="12" xfId="0" applyFont="1" applyFill="1" applyBorder="1" applyAlignment="1">
      <alignment horizontal="left" vertical="center" indent="1"/>
    </xf>
    <xf numFmtId="0" fontId="5" fillId="33" borderId="12" xfId="0" applyFont="1" applyFill="1" applyBorder="1" applyAlignment="1">
      <alignment vertical="center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93" fontId="12" fillId="33" borderId="0" xfId="0" applyNumberFormat="1" applyFont="1" applyFill="1" applyAlignment="1">
      <alignment/>
    </xf>
    <xf numFmtId="1" fontId="13" fillId="33" borderId="29" xfId="0" applyNumberFormat="1" applyFont="1" applyFill="1" applyBorder="1" applyAlignment="1" applyProtection="1">
      <alignment horizontal="right" indent="1"/>
      <protection/>
    </xf>
    <xf numFmtId="3" fontId="11" fillId="0" borderId="12" xfId="0" applyNumberFormat="1" applyFont="1" applyBorder="1" applyAlignment="1">
      <alignment horizontal="right" vertical="center" indent="2" readingOrder="1"/>
    </xf>
    <xf numFmtId="188" fontId="11" fillId="33" borderId="0" xfId="0" applyNumberFormat="1" applyFont="1" applyFill="1" applyBorder="1" applyAlignment="1">
      <alignment horizontal="right" vertical="center" indent="1" readingOrder="1"/>
    </xf>
    <xf numFmtId="203" fontId="21" fillId="32" borderId="0" xfId="0" applyNumberFormat="1" applyFont="1" applyFill="1" applyBorder="1" applyAlignment="1">
      <alignment vertical="center"/>
    </xf>
    <xf numFmtId="188" fontId="89" fillId="33" borderId="0" xfId="49" applyNumberFormat="1" applyFont="1" applyFill="1" applyBorder="1" applyAlignment="1">
      <alignment vertical="center"/>
    </xf>
    <xf numFmtId="208" fontId="21" fillId="32" borderId="0" xfId="0" applyNumberFormat="1" applyFont="1" applyFill="1" applyBorder="1" applyAlignment="1">
      <alignment vertical="center"/>
    </xf>
    <xf numFmtId="3" fontId="12" fillId="0" borderId="12" xfId="0" applyNumberFormat="1" applyFont="1" applyBorder="1" applyAlignment="1">
      <alignment horizontal="right" indent="2" readingOrder="1"/>
    </xf>
    <xf numFmtId="3" fontId="11" fillId="0" borderId="12" xfId="0" applyNumberFormat="1" applyFont="1" applyBorder="1" applyAlignment="1">
      <alignment horizontal="right" indent="2" readingOrder="1"/>
    </xf>
    <xf numFmtId="1" fontId="5" fillId="33" borderId="14" xfId="49" applyNumberFormat="1" applyFont="1" applyFill="1" applyBorder="1" applyAlignment="1">
      <alignment horizontal="center"/>
    </xf>
    <xf numFmtId="1" fontId="5" fillId="33" borderId="17" xfId="49" applyNumberFormat="1" applyFont="1" applyFill="1" applyBorder="1" applyAlignment="1">
      <alignment horizontal="center"/>
    </xf>
    <xf numFmtId="207" fontId="12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203" fontId="6" fillId="33" borderId="0" xfId="49" applyNumberFormat="1" applyFont="1" applyFill="1" applyBorder="1" applyAlignment="1">
      <alignment vertical="center"/>
    </xf>
    <xf numFmtId="171" fontId="6" fillId="33" borderId="0" xfId="59" applyNumberFormat="1" applyFont="1" applyFill="1" applyBorder="1" applyAlignment="1">
      <alignment horizontal="right" vertical="center" indent="2"/>
    </xf>
    <xf numFmtId="208" fontId="2" fillId="32" borderId="0" xfId="0" applyNumberFormat="1" applyFont="1" applyFill="1" applyAlignment="1">
      <alignment/>
    </xf>
    <xf numFmtId="204" fontId="2" fillId="32" borderId="0" xfId="0" applyNumberFormat="1" applyFont="1" applyFill="1" applyBorder="1" applyAlignment="1">
      <alignment vertical="center" readingOrder="1"/>
    </xf>
    <xf numFmtId="209" fontId="17" fillId="33" borderId="0" xfId="0" applyNumberFormat="1" applyFont="1" applyFill="1" applyAlignment="1">
      <alignment/>
    </xf>
    <xf numFmtId="192" fontId="11" fillId="33" borderId="0" xfId="0" applyNumberFormat="1" applyFont="1" applyFill="1" applyAlignment="1">
      <alignment horizontal="right"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 quotePrefix="1">
      <alignment horizontal="center" vertical="center"/>
    </xf>
    <xf numFmtId="210" fontId="2" fillId="33" borderId="0" xfId="0" applyNumberFormat="1" applyFont="1" applyFill="1" applyAlignment="1">
      <alignment/>
    </xf>
    <xf numFmtId="0" fontId="99" fillId="0" borderId="30" xfId="0" applyFont="1" applyBorder="1" applyAlignment="1">
      <alignment horizontal="left" indent="4"/>
    </xf>
    <xf numFmtId="2" fontId="17" fillId="32" borderId="0" xfId="0" applyNumberFormat="1" applyFont="1" applyFill="1" applyBorder="1" applyAlignment="1">
      <alignment/>
    </xf>
    <xf numFmtId="2" fontId="17" fillId="32" borderId="0" xfId="0" applyNumberFormat="1" applyFont="1" applyFill="1" applyAlignment="1">
      <alignment/>
    </xf>
    <xf numFmtId="4" fontId="17" fillId="32" borderId="0" xfId="0" applyNumberFormat="1" applyFont="1" applyFill="1" applyBorder="1" applyAlignment="1">
      <alignment/>
    </xf>
    <xf numFmtId="4" fontId="17" fillId="32" borderId="0" xfId="0" applyNumberFormat="1" applyFont="1" applyFill="1" applyAlignment="1">
      <alignment/>
    </xf>
    <xf numFmtId="168" fontId="6" fillId="33" borderId="0" xfId="49" applyNumberFormat="1" applyFont="1" applyFill="1" applyBorder="1" applyAlignment="1">
      <alignment horizontal="center" vertical="center"/>
    </xf>
    <xf numFmtId="203" fontId="6" fillId="33" borderId="0" xfId="0" applyNumberFormat="1" applyFont="1" applyFill="1" applyBorder="1" applyAlignment="1">
      <alignment vertical="center"/>
    </xf>
    <xf numFmtId="171" fontId="6" fillId="33" borderId="0" xfId="0" applyNumberFormat="1" applyFont="1" applyFill="1" applyBorder="1" applyAlignment="1">
      <alignment horizontal="right" vertical="center" indent="2"/>
    </xf>
    <xf numFmtId="201" fontId="2" fillId="32" borderId="0" xfId="0" applyNumberFormat="1" applyFont="1" applyFill="1" applyBorder="1" applyAlignment="1">
      <alignment vertical="center" readingOrder="1"/>
    </xf>
    <xf numFmtId="0" fontId="100" fillId="33" borderId="0" xfId="46" applyFont="1" applyFill="1" applyAlignment="1" applyProtection="1">
      <alignment horizontal="left" vertical="center"/>
      <protection/>
    </xf>
    <xf numFmtId="0" fontId="4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Alignment="1">
      <alignment horizontal="center" vertical="center" wrapText="1"/>
      <protection/>
    </xf>
    <xf numFmtId="14" fontId="100" fillId="32" borderId="0" xfId="46" applyNumberFormat="1" applyFont="1" applyFill="1" applyAlignment="1" applyProtection="1">
      <alignment horizontal="left" vertical="center"/>
      <protection/>
    </xf>
    <xf numFmtId="0" fontId="100" fillId="0" borderId="0" xfId="46" applyFont="1" applyAlignment="1" applyProtection="1">
      <alignment horizontal="left" vertical="center"/>
      <protection/>
    </xf>
    <xf numFmtId="0" fontId="100" fillId="32" borderId="0" xfId="46" applyFont="1" applyFill="1" applyAlignment="1" applyProtection="1">
      <alignment horizontal="left" vertical="center"/>
      <protection/>
    </xf>
    <xf numFmtId="0" fontId="2" fillId="33" borderId="0" xfId="0" applyFont="1" applyFill="1" applyAlignment="1">
      <alignment horizontal="justify" vertical="top" wrapText="1"/>
    </xf>
    <xf numFmtId="0" fontId="2" fillId="33" borderId="0" xfId="0" applyFont="1" applyFill="1" applyAlignment="1">
      <alignment horizontal="justify" vertical="center" wrapText="1"/>
    </xf>
    <xf numFmtId="0" fontId="2" fillId="33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justify" wrapText="1"/>
    </xf>
    <xf numFmtId="0" fontId="2" fillId="32" borderId="0" xfId="0" applyFont="1" applyFill="1" applyAlignment="1">
      <alignment horizontal="left" vertical="top" wrapText="1"/>
    </xf>
    <xf numFmtId="0" fontId="5" fillId="33" borderId="0" xfId="56" applyFont="1" applyFill="1" applyBorder="1" applyAlignment="1">
      <alignment horizontal="left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3" fillId="33" borderId="0" xfId="56" applyFont="1" applyFill="1" applyAlignment="1">
      <alignment horizontal="center" vertical="center" wrapText="1"/>
      <protection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4" fillId="33" borderId="0" xfId="56" applyFont="1" applyFill="1" applyAlignment="1">
      <alignment horizontal="center" vertical="center"/>
      <protection/>
    </xf>
    <xf numFmtId="0" fontId="2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175" fontId="2" fillId="32" borderId="0" xfId="0" applyNumberFormat="1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 applyProtection="1">
      <alignment horizontal="left" wrapText="1"/>
      <protection/>
    </xf>
    <xf numFmtId="15" fontId="13" fillId="33" borderId="10" xfId="0" applyNumberFormat="1" applyFont="1" applyFill="1" applyBorder="1" applyAlignment="1" applyProtection="1">
      <alignment horizontal="center" vertical="center" wrapText="1"/>
      <protection/>
    </xf>
    <xf numFmtId="15" fontId="13" fillId="33" borderId="12" xfId="0" applyNumberFormat="1" applyFont="1" applyFill="1" applyBorder="1" applyAlignment="1" applyProtection="1">
      <alignment horizontal="center" vertical="center" wrapText="1"/>
      <protection/>
    </xf>
    <xf numFmtId="15" fontId="13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32" borderId="10" xfId="0" applyFont="1" applyFill="1" applyBorder="1" applyAlignment="1">
      <alignment horizontal="left" vertical="center" indent="1"/>
    </xf>
    <xf numFmtId="0" fontId="13" fillId="32" borderId="13" xfId="0" applyFont="1" applyFill="1" applyBorder="1" applyAlignment="1">
      <alignment horizontal="left" vertical="center" indent="1"/>
    </xf>
    <xf numFmtId="3" fontId="13" fillId="32" borderId="11" xfId="49" applyNumberFormat="1" applyFont="1" applyFill="1" applyBorder="1" applyAlignment="1">
      <alignment horizontal="right" vertical="center" indent="2"/>
    </xf>
    <xf numFmtId="3" fontId="13" fillId="32" borderId="21" xfId="49" applyNumberFormat="1" applyFont="1" applyFill="1" applyBorder="1" applyAlignment="1">
      <alignment horizontal="right" vertical="center" indent="2"/>
    </xf>
    <xf numFmtId="38" fontId="13" fillId="32" borderId="11" xfId="49" applyNumberFormat="1" applyFont="1" applyFill="1" applyBorder="1" applyAlignment="1">
      <alignment horizontal="right" vertical="center" indent="2"/>
    </xf>
    <xf numFmtId="38" fontId="13" fillId="32" borderId="21" xfId="49" applyNumberFormat="1" applyFont="1" applyFill="1" applyBorder="1" applyAlignment="1">
      <alignment horizontal="right" vertical="center" indent="2"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68" fontId="13" fillId="33" borderId="10" xfId="0" applyNumberFormat="1" applyFont="1" applyFill="1" applyBorder="1" applyAlignment="1">
      <alignment horizontal="right" vertical="center" indent="2" readingOrder="1"/>
    </xf>
    <xf numFmtId="168" fontId="13" fillId="33" borderId="13" xfId="0" applyNumberFormat="1" applyFont="1" applyFill="1" applyBorder="1" applyAlignment="1">
      <alignment horizontal="right" vertical="center" indent="2" readingOrder="1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5" fontId="13" fillId="33" borderId="12" xfId="0" applyNumberFormat="1" applyFont="1" applyFill="1" applyBorder="1" applyAlignment="1" applyProtection="1">
      <alignment horizontal="center" vertical="center"/>
      <protection/>
    </xf>
    <xf numFmtId="15" fontId="13" fillId="33" borderId="13" xfId="0" applyNumberFormat="1" applyFont="1" applyFill="1" applyBorder="1" applyAlignment="1" applyProtection="1">
      <alignment horizontal="center" vertical="center"/>
      <protection/>
    </xf>
    <xf numFmtId="0" fontId="13" fillId="32" borderId="10" xfId="0" applyFont="1" applyFill="1" applyBorder="1" applyAlignment="1">
      <alignment horizontal="left" vertical="center" wrapText="1" indent="1" readingOrder="1"/>
    </xf>
    <xf numFmtId="0" fontId="13" fillId="32" borderId="13" xfId="0" applyFont="1" applyFill="1" applyBorder="1" applyAlignment="1">
      <alignment horizontal="left" vertical="center" wrapText="1" indent="1" readingOrder="1"/>
    </xf>
    <xf numFmtId="3" fontId="13" fillId="33" borderId="10" xfId="0" applyNumberFormat="1" applyFont="1" applyFill="1" applyBorder="1" applyAlignment="1">
      <alignment horizontal="right" vertical="center" indent="2" readingOrder="1"/>
    </xf>
    <xf numFmtId="3" fontId="13" fillId="33" borderId="13" xfId="0" applyNumberFormat="1" applyFont="1" applyFill="1" applyBorder="1" applyAlignment="1">
      <alignment horizontal="right" vertical="center" indent="2" readingOrder="1"/>
    </xf>
    <xf numFmtId="0" fontId="3" fillId="32" borderId="0" xfId="0" applyFont="1" applyFill="1" applyBorder="1" applyAlignment="1">
      <alignment horizontal="center" wrapText="1" readingOrder="1"/>
    </xf>
    <xf numFmtId="0" fontId="101" fillId="32" borderId="0" xfId="0" applyFont="1" applyFill="1" applyBorder="1" applyAlignment="1">
      <alignment horizontal="center" wrapText="1" readingOrder="1"/>
    </xf>
    <xf numFmtId="0" fontId="2" fillId="32" borderId="0" xfId="0" applyFont="1" applyFill="1" applyBorder="1" applyAlignment="1">
      <alignment horizontal="left" vertical="center" readingOrder="1"/>
    </xf>
    <xf numFmtId="15" fontId="13" fillId="33" borderId="12" xfId="0" applyNumberFormat="1" applyFont="1" applyFill="1" applyBorder="1" applyAlignment="1" applyProtection="1">
      <alignment horizontal="left" vertical="center"/>
      <protection/>
    </xf>
    <xf numFmtId="15" fontId="13" fillId="33" borderId="13" xfId="0" applyNumberFormat="1" applyFont="1" applyFill="1" applyBorder="1" applyAlignment="1" applyProtection="1">
      <alignment horizontal="left" vertical="center"/>
      <protection/>
    </xf>
    <xf numFmtId="0" fontId="13" fillId="33" borderId="10" xfId="0" applyFont="1" applyFill="1" applyBorder="1" applyAlignment="1">
      <alignment horizontal="left" vertical="center" readingOrder="1"/>
    </xf>
    <xf numFmtId="0" fontId="13" fillId="33" borderId="13" xfId="0" applyFont="1" applyFill="1" applyBorder="1" applyAlignment="1">
      <alignment horizontal="left" vertical="center" readingOrder="1"/>
    </xf>
    <xf numFmtId="0" fontId="13" fillId="33" borderId="16" xfId="0" applyFont="1" applyFill="1" applyBorder="1" applyAlignment="1">
      <alignment horizontal="left" vertical="center" readingOrder="1"/>
    </xf>
    <xf numFmtId="0" fontId="13" fillId="33" borderId="15" xfId="0" applyFont="1" applyFill="1" applyBorder="1" applyAlignment="1">
      <alignment horizontal="left" vertical="center" readingOrder="1"/>
    </xf>
    <xf numFmtId="0" fontId="5" fillId="33" borderId="10" xfId="0" applyFont="1" applyFill="1" applyBorder="1" applyAlignment="1">
      <alignment horizontal="left" vertical="center" indent="1"/>
    </xf>
    <xf numFmtId="0" fontId="5" fillId="33" borderId="13" xfId="0" applyFont="1" applyFill="1" applyBorder="1" applyAlignment="1">
      <alignment horizontal="left" vertical="center" indent="1"/>
    </xf>
    <xf numFmtId="38" fontId="5" fillId="33" borderId="10" xfId="49" applyNumberFormat="1" applyFont="1" applyFill="1" applyBorder="1" applyAlignment="1">
      <alignment horizontal="right" vertical="center" indent="2"/>
    </xf>
    <xf numFmtId="38" fontId="5" fillId="33" borderId="13" xfId="49" applyNumberFormat="1" applyFont="1" applyFill="1" applyBorder="1" applyAlignment="1">
      <alignment horizontal="right" vertical="center" indent="2"/>
    </xf>
    <xf numFmtId="0" fontId="11" fillId="0" borderId="0" xfId="0" applyFont="1" applyFill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 applyProtection="1">
      <alignment horizontal="center" vertical="center" wrapText="1"/>
      <protection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3" fontId="5" fillId="33" borderId="21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38" fontId="13" fillId="33" borderId="10" xfId="49" applyNumberFormat="1" applyFont="1" applyFill="1" applyBorder="1" applyAlignment="1">
      <alignment horizontal="right" vertical="center" indent="2"/>
    </xf>
    <xf numFmtId="38" fontId="13" fillId="33" borderId="13" xfId="49" applyNumberFormat="1" applyFont="1" applyFill="1" applyBorder="1" applyAlignment="1">
      <alignment horizontal="right" vertical="center" indent="2"/>
    </xf>
    <xf numFmtId="0" fontId="24" fillId="33" borderId="0" xfId="0" applyFont="1" applyFill="1" applyBorder="1" applyAlignment="1" applyProtection="1">
      <alignment horizontal="left"/>
      <protection locked="0"/>
    </xf>
    <xf numFmtId="3" fontId="13" fillId="33" borderId="16" xfId="0" applyNumberFormat="1" applyFont="1" applyFill="1" applyBorder="1" applyAlignment="1">
      <alignment horizontal="right" vertical="center" indent="1"/>
    </xf>
    <xf numFmtId="3" fontId="13" fillId="33" borderId="15" xfId="0" applyNumberFormat="1" applyFont="1" applyFill="1" applyBorder="1" applyAlignment="1">
      <alignment horizontal="right" vertical="center" indent="1"/>
    </xf>
    <xf numFmtId="3" fontId="13" fillId="33" borderId="22" xfId="0" applyNumberFormat="1" applyFont="1" applyFill="1" applyBorder="1" applyAlignment="1">
      <alignment horizontal="right" vertical="center" indent="1"/>
    </xf>
    <xf numFmtId="3" fontId="13" fillId="33" borderId="20" xfId="0" applyNumberFormat="1" applyFont="1" applyFill="1" applyBorder="1" applyAlignment="1">
      <alignment horizontal="right" vertical="center" indent="1"/>
    </xf>
    <xf numFmtId="3" fontId="13" fillId="33" borderId="11" xfId="0" applyNumberFormat="1" applyFont="1" applyFill="1" applyBorder="1" applyAlignment="1">
      <alignment horizontal="right" vertical="center" indent="1"/>
    </xf>
    <xf numFmtId="3" fontId="13" fillId="33" borderId="21" xfId="0" applyNumberFormat="1" applyFont="1" applyFill="1" applyBorder="1" applyAlignment="1">
      <alignment horizontal="right" vertical="center" indent="1"/>
    </xf>
    <xf numFmtId="168" fontId="13" fillId="33" borderId="16" xfId="0" applyNumberFormat="1" applyFont="1" applyFill="1" applyBorder="1" applyAlignment="1">
      <alignment horizontal="center" vertical="center"/>
    </xf>
    <xf numFmtId="168" fontId="13" fillId="33" borderId="11" xfId="0" applyNumberFormat="1" applyFont="1" applyFill="1" applyBorder="1" applyAlignment="1">
      <alignment horizontal="center" vertical="center"/>
    </xf>
    <xf numFmtId="168" fontId="13" fillId="33" borderId="15" xfId="0" applyNumberFormat="1" applyFont="1" applyFill="1" applyBorder="1" applyAlignment="1">
      <alignment horizontal="center" vertical="center"/>
    </xf>
    <xf numFmtId="168" fontId="13" fillId="33" borderId="21" xfId="0" applyNumberFormat="1" applyFont="1" applyFill="1" applyBorder="1" applyAlignment="1">
      <alignment horizontal="center" vertical="center"/>
    </xf>
    <xf numFmtId="168" fontId="13" fillId="33" borderId="34" xfId="0" applyNumberFormat="1" applyFont="1" applyFill="1" applyBorder="1" applyAlignment="1">
      <alignment horizontal="center" vertical="center"/>
    </xf>
    <xf numFmtId="168" fontId="13" fillId="33" borderId="35" xfId="0" applyNumberFormat="1" applyFont="1" applyFill="1" applyBorder="1" applyAlignment="1">
      <alignment horizontal="center" vertical="center"/>
    </xf>
    <xf numFmtId="168" fontId="13" fillId="33" borderId="36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225"/>
          <c:y val="0.07675"/>
          <c:w val="0.5705"/>
          <c:h val="0.8155"/>
        </c:manualLayout>
      </c:layout>
      <c:pieChart>
        <c:varyColors val="1"/>
        <c:ser>
          <c:idx val="0"/>
          <c:order val="0"/>
          <c:tx>
            <c:strRef>
              <c:f>Resumen!$B$11</c:f>
              <c:strCache>
                <c:ptCount val="1"/>
                <c:pt idx="0">
                  <c:v>Tipo Deuda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Interna</c:v>
                </c:pt>
                <c:pt idx="1">
                  <c:v>Externa</c:v>
                </c:pt>
              </c:strCache>
            </c:strRef>
          </c:cat>
          <c:val>
            <c:numRef>
              <c:f>Resumen!$E$13:$E$14</c:f>
              <c:numCache>
                <c:ptCount val="2"/>
                <c:pt idx="0">
                  <c:v>0.9886643809133524</c:v>
                </c:pt>
                <c:pt idx="1">
                  <c:v>0.011335619086647517</c:v>
                </c:pt>
              </c:numCache>
            </c:numRef>
          </c:val>
        </c:ser>
        <c:firstSliceAng val="9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3275"/>
          <c:y val="0.13875"/>
          <c:w val="0.62975"/>
          <c:h val="0.85"/>
        </c:manualLayout>
      </c:layout>
      <c:pieChart>
        <c:varyColors val="1"/>
        <c:ser>
          <c:idx val="0"/>
          <c:order val="0"/>
          <c:tx>
            <c:strRef>
              <c:f>'Resumen-Gráficos'!$E$10:$G$10</c:f>
              <c:strCache>
                <c:ptCount val="1"/>
                <c:pt idx="0">
                  <c:v>TIPO DE INSTRUMENTO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Resumen!$J$13:$J$14</c:f>
              <c:numCache>
                <c:ptCount val="2"/>
                <c:pt idx="0">
                  <c:v>0.6744176703187992</c:v>
                </c:pt>
                <c:pt idx="1">
                  <c:v>0.3255823296812008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55"/>
          <c:y val="0.04875"/>
          <c:w val="0.95375"/>
          <c:h val="0.8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Resumen!$G$18</c:f>
              <c:strCache>
                <c:ptCount val="1"/>
                <c:pt idx="0">
                  <c:v>Acreedor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Resumen!$G$20:$G$29</c:f>
              <c:strCache>
                <c:ptCount val="10"/>
                <c:pt idx="0">
                  <c:v>MEF  1/</c:v>
                </c:pt>
                <c:pt idx="1">
                  <c:v>Bonistas</c:v>
                </c:pt>
                <c:pt idx="2">
                  <c:v>Banco de la Nación</c:v>
                </c:pt>
                <c:pt idx="3">
                  <c:v>BBVA, Scotia y BCP Sindicado</c:v>
                </c:pt>
                <c:pt idx="4">
                  <c:v>Banco Internacional del Perú</c:v>
                </c:pt>
                <c:pt idx="5">
                  <c:v>Banco Interamericano de Desarrollo (BID)</c:v>
                </c:pt>
                <c:pt idx="6">
                  <c:v>Banco de Comercio</c:v>
                </c:pt>
                <c:pt idx="7">
                  <c:v>Banco Pichincha</c:v>
                </c:pt>
                <c:pt idx="8">
                  <c:v>BBVA Banco Continental</c:v>
                </c:pt>
                <c:pt idx="9">
                  <c:v>Total</c:v>
                </c:pt>
              </c:strCache>
            </c:strRef>
          </c:cat>
          <c:val>
            <c:numRef>
              <c:f>Resumen!$J$20:$J$29</c:f>
              <c:numCache>
                <c:ptCount val="10"/>
                <c:pt idx="0">
                  <c:v>0.5814963853580593</c:v>
                </c:pt>
                <c:pt idx="1">
                  <c:v>0.3255823296808969</c:v>
                </c:pt>
                <c:pt idx="2">
                  <c:v>0.03652883026854472</c:v>
                </c:pt>
                <c:pt idx="3">
                  <c:v>0.031865290581459135</c:v>
                </c:pt>
                <c:pt idx="4">
                  <c:v>0.012476910875571864</c:v>
                </c:pt>
                <c:pt idx="5">
                  <c:v>0.011335619086616887</c:v>
                </c:pt>
                <c:pt idx="6">
                  <c:v>0.0006836989910800524</c:v>
                </c:pt>
                <c:pt idx="7">
                  <c:v>3.0017520861983394E-05</c:v>
                </c:pt>
                <c:pt idx="8">
                  <c:v>9.176369091629285E-07</c:v>
                </c:pt>
                <c:pt idx="9">
                  <c:v>0.9999999999999998</c:v>
                </c:pt>
              </c:numCache>
            </c:numRef>
          </c:val>
        </c:ser>
        <c:gapWidth val="100"/>
        <c:axId val="7330530"/>
        <c:axId val="65974771"/>
      </c:barChart>
      <c:catAx>
        <c:axId val="73305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974771"/>
        <c:crosses val="autoZero"/>
        <c:auto val="1"/>
        <c:lblOffset val="100"/>
        <c:tickLblSkip val="1"/>
        <c:noMultiLvlLbl val="0"/>
      </c:catAx>
      <c:valAx>
        <c:axId val="65974771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73305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9875"/>
          <c:y val="0.082"/>
          <c:w val="0.5785"/>
          <c:h val="0.82225"/>
        </c:manualLayout>
      </c:layout>
      <c:pieChart>
        <c:varyColors val="1"/>
        <c:ser>
          <c:idx val="0"/>
          <c:order val="0"/>
          <c:tx>
            <c:strRef>
              <c:f>Resumen!$B$18</c:f>
              <c:strCache>
                <c:ptCount val="1"/>
                <c:pt idx="0">
                  <c:v>Sector Institucional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Resumen!$B$20:$B$22</c:f>
              <c:strCache>
                <c:ptCount val="3"/>
                <c:pt idx="0">
                  <c:v>Gobiernos Regionales</c:v>
                </c:pt>
                <c:pt idx="1">
                  <c:v>Gobiernos Locales</c:v>
                </c:pt>
                <c:pt idx="2">
                  <c:v>Gobiernos Nacional   1/</c:v>
                </c:pt>
              </c:strCache>
            </c:strRef>
          </c:cat>
          <c:val>
            <c:numRef>
              <c:f>Resumen!$E$20:$E$22</c:f>
              <c:numCache>
                <c:ptCount val="3"/>
                <c:pt idx="0">
                  <c:v>0.3764484221329004</c:v>
                </c:pt>
                <c:pt idx="1">
                  <c:v>0.6076152254054066</c:v>
                </c:pt>
                <c:pt idx="2">
                  <c:v>0.015936352461692994</c:v>
                </c:pt>
              </c:numCache>
            </c:numRef>
          </c:val>
        </c:ser>
        <c:firstSliceAng val="133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5775"/>
          <c:y val="0.16525"/>
          <c:w val="0.6495"/>
          <c:h val="0.762"/>
        </c:manualLayout>
      </c:layout>
      <c:pieChart>
        <c:varyColors val="1"/>
        <c:ser>
          <c:idx val="0"/>
          <c:order val="0"/>
          <c:tx>
            <c:strRef>
              <c:f>Resumen!$B$35</c:f>
              <c:strCache>
                <c:ptCount val="1"/>
                <c:pt idx="0">
                  <c:v>Moneda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Resumen!$B$37:$B$40</c:f>
              <c:strCache>
                <c:ptCount val="4"/>
                <c:pt idx="0">
                  <c:v>Soles</c:v>
                </c:pt>
                <c:pt idx="1">
                  <c:v>US Dólares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Resumen!$E$37:$E$40</c:f>
              <c:numCache>
                <c:ptCount val="4"/>
                <c:pt idx="0">
                  <c:v>0.8151365780401594</c:v>
                </c:pt>
                <c:pt idx="1">
                  <c:v>0.17253233757508513</c:v>
                </c:pt>
                <c:pt idx="2">
                  <c:v>0.0030362695250304708</c:v>
                </c:pt>
                <c:pt idx="3">
                  <c:v>0.009294814859724967</c:v>
                </c:pt>
              </c:numCache>
            </c:numRef>
          </c:val>
        </c:ser>
        <c:firstSliceAng val="12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625"/>
          <c:y val="0.098"/>
          <c:w val="0.481"/>
          <c:h val="0.80025"/>
        </c:manualLayout>
      </c:layout>
      <c:pieChart>
        <c:varyColors val="1"/>
        <c:ser>
          <c:idx val="0"/>
          <c:order val="0"/>
          <c:tx>
            <c:strRef>
              <c:f>Resumen!$B$47</c:f>
              <c:strCache>
                <c:ptCount val="1"/>
                <c:pt idx="0">
                  <c:v>Plazo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Resumen!$B$49:$B$50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Resumen!$E$49:$E$50</c:f>
              <c:numCache>
                <c:ptCount val="2"/>
                <c:pt idx="0">
                  <c:v>0.9777190336798679</c:v>
                </c:pt>
                <c:pt idx="1">
                  <c:v>0.022280966320132108</c:v>
                </c:pt>
              </c:numCache>
            </c:numRef>
          </c:val>
        </c:ser>
        <c:firstSliceAng val="92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25"/>
          <c:y val="0.119"/>
          <c:w val="0.6975"/>
          <c:h val="0.84075"/>
        </c:manualLayout>
      </c:layout>
      <c:pieChart>
        <c:varyColors val="1"/>
        <c:ser>
          <c:idx val="0"/>
          <c:order val="0"/>
          <c:tx>
            <c:strRef>
              <c:f>Resumen!$E$27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Resumen!$B$28:$B$31</c:f>
              <c:strCache>
                <c:ptCount val="4"/>
                <c:pt idx="0">
                  <c:v>Gobierno Nacional   1/</c:v>
                </c:pt>
                <c:pt idx="1">
                  <c:v>Sistema Financiero Nacional</c:v>
                </c:pt>
                <c:pt idx="2">
                  <c:v>Organismos Internacionales</c:v>
                </c:pt>
                <c:pt idx="3">
                  <c:v>Bonistas</c:v>
                </c:pt>
              </c:strCache>
            </c:strRef>
          </c:cat>
          <c:val>
            <c:numRef>
              <c:f>Resumen!$E$28:$E$31</c:f>
              <c:numCache>
                <c:ptCount val="4"/>
                <c:pt idx="0">
                  <c:v>0.5814963853586161</c:v>
                </c:pt>
                <c:pt idx="1">
                  <c:v>0.08158566587339006</c:v>
                </c:pt>
                <c:pt idx="2">
                  <c:v>0.011335619086901973</c:v>
                </c:pt>
                <c:pt idx="3">
                  <c:v>0.32558232968109174</c:v>
                </c:pt>
              </c:numCache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65"/>
          <c:y val="0.0335"/>
          <c:w val="0.76475"/>
          <c:h val="0.9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Resumen!$H$38</c:f>
              <c:strCache>
                <c:ptCount val="1"/>
                <c:pt idx="0">
                  <c:v>Externa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Resumen!$G$39:$G$54</c:f>
              <c:strCache>
                <c:ptCount val="1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Mar 2024</c:v>
                </c:pt>
              </c:strCache>
            </c:strRef>
          </c:cat>
          <c:val>
            <c:numRef>
              <c:f>Resumen!$H$39:$H$54</c:f>
              <c:numCache>
                <c:ptCount val="16"/>
                <c:pt idx="0">
                  <c:v>71</c:v>
                </c:pt>
                <c:pt idx="1">
                  <c:v>72</c:v>
                </c:pt>
                <c:pt idx="2">
                  <c:v>70</c:v>
                </c:pt>
                <c:pt idx="3">
                  <c:v>63.198</c:v>
                </c:pt>
                <c:pt idx="4">
                  <c:v>56.5285205</c:v>
                </c:pt>
                <c:pt idx="5">
                  <c:v>50.26007419</c:v>
                </c:pt>
                <c:pt idx="6">
                  <c:v>44.4029874</c:v>
                </c:pt>
                <c:pt idx="7">
                  <c:v>38.965713019999995</c:v>
                </c:pt>
                <c:pt idx="8">
                  <c:v>33.93910748</c:v>
                </c:pt>
                <c:pt idx="9">
                  <c:v>29.32455225</c:v>
                </c:pt>
                <c:pt idx="10">
                  <c:v>25.11588378</c:v>
                </c:pt>
                <c:pt idx="11">
                  <c:v>21.32238415</c:v>
                </c:pt>
                <c:pt idx="12">
                  <c:v>17.93927132</c:v>
                </c:pt>
                <c:pt idx="13">
                  <c:v>14.9630181</c:v>
                </c:pt>
                <c:pt idx="14">
                  <c:v>12.40236419</c:v>
                </c:pt>
                <c:pt idx="15">
                  <c:v>11.27487652</c:v>
                </c:pt>
              </c:numCache>
            </c:numRef>
          </c:val>
        </c:ser>
        <c:ser>
          <c:idx val="1"/>
          <c:order val="1"/>
          <c:tx>
            <c:strRef>
              <c:f>Resumen!$I$38</c:f>
              <c:strCache>
                <c:ptCount val="1"/>
                <c:pt idx="0">
                  <c:v>Interna</c:v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Resumen!$G$39:$G$54</c:f>
              <c:strCache>
                <c:ptCount val="1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Mar 2024</c:v>
                </c:pt>
              </c:strCache>
            </c:strRef>
          </c:cat>
          <c:val>
            <c:numRef>
              <c:f>Resumen!$I$39:$I$54</c:f>
              <c:numCache>
                <c:ptCount val="16"/>
                <c:pt idx="0">
                  <c:v>192</c:v>
                </c:pt>
                <c:pt idx="1">
                  <c:v>249</c:v>
                </c:pt>
                <c:pt idx="2">
                  <c:v>315</c:v>
                </c:pt>
                <c:pt idx="3">
                  <c:v>425.85551902000003</c:v>
                </c:pt>
                <c:pt idx="4">
                  <c:v>591.0717845600001</c:v>
                </c:pt>
                <c:pt idx="5">
                  <c:v>752.8751732600001</c:v>
                </c:pt>
                <c:pt idx="6">
                  <c:v>911.7782794100002</c:v>
                </c:pt>
                <c:pt idx="7">
                  <c:v>1125.5192306200001</c:v>
                </c:pt>
                <c:pt idx="8">
                  <c:v>695.27858884</c:v>
                </c:pt>
                <c:pt idx="9">
                  <c:v>1046.91136084</c:v>
                </c:pt>
                <c:pt idx="10">
                  <c:v>1051.14683938</c:v>
                </c:pt>
                <c:pt idx="11">
                  <c:v>752.79007244</c:v>
                </c:pt>
                <c:pt idx="12">
                  <c:v>726.5431257600001</c:v>
                </c:pt>
                <c:pt idx="13">
                  <c:v>666.9443867900001</c:v>
                </c:pt>
                <c:pt idx="14">
                  <c:v>1014.1072922000001</c:v>
                </c:pt>
                <c:pt idx="15">
                  <c:v>983.36656596</c:v>
                </c:pt>
              </c:numCache>
            </c:numRef>
          </c:val>
        </c:ser>
        <c:overlap val="-25"/>
        <c:axId val="56902028"/>
        <c:axId val="42356205"/>
      </c:barChart>
      <c:catAx>
        <c:axId val="569020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356205"/>
        <c:crosses val="autoZero"/>
        <c:auto val="1"/>
        <c:lblOffset val="100"/>
        <c:tickLblSkip val="1"/>
        <c:noMultiLvlLbl val="0"/>
      </c:catAx>
      <c:valAx>
        <c:axId val="42356205"/>
        <c:scaling>
          <c:orientation val="minMax"/>
        </c:scaling>
        <c:axPos val="l"/>
        <c:delete val="1"/>
        <c:majorTickMark val="out"/>
        <c:minorTickMark val="none"/>
        <c:tickLblPos val="nextTo"/>
        <c:crossAx val="569020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"/>
          <c:y val="0.3885"/>
          <c:w val="0.191"/>
          <c:h val="0.2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625"/>
          <c:y val="0.0285"/>
          <c:w val="0.799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'DGRGL-C7'!$H$12</c:f>
              <c:strCache>
                <c:ptCount val="1"/>
                <c:pt idx="0">
                  <c:v>Deuda Interna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'DGRGL-C7'!$B$15:$C$37</c:f>
              <c:multiLvlStrCache/>
            </c:multiLvlStrRef>
          </c:cat>
          <c:val>
            <c:numRef>
              <c:f>'DGRGL-C7'!$J$15:$J$34</c:f>
              <c:numCache/>
            </c:numRef>
          </c:val>
          <c:smooth val="0"/>
        </c:ser>
        <c:ser>
          <c:idx val="1"/>
          <c:order val="1"/>
          <c:tx>
            <c:strRef>
              <c:f>'DGRGL-C7'!$K$12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'DGRGL-C7'!$B$15:$B$34</c:f>
              <c:numCache/>
            </c:numRef>
          </c:cat>
          <c:val>
            <c:numRef>
              <c:f>'DGRGL-C7'!$M$15:$M$34</c:f>
              <c:numCache/>
            </c:numRef>
          </c:val>
          <c:smooth val="0"/>
        </c:ser>
        <c:ser>
          <c:idx val="2"/>
          <c:order val="2"/>
          <c:tx>
            <c:strRef>
              <c:f>'DGRGL-C7'!$E$12:$G$12</c:f>
              <c:strCache>
                <c:ptCount val="1"/>
                <c:pt idx="0">
                  <c:v>Deuda Externa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'DGRGL-C7'!$B$15:$B$34</c:f>
              <c:numCache/>
            </c:numRef>
          </c:cat>
          <c:val>
            <c:numRef>
              <c:f>'DGRGL-C7'!$G$15:$G$34</c:f>
              <c:numCache/>
            </c:numRef>
          </c:val>
          <c:smooth val="0"/>
        </c:ser>
        <c:marker val="1"/>
        <c:axId val="45661526"/>
        <c:axId val="8300551"/>
      </c:lineChart>
      <c:catAx>
        <c:axId val="45661526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300551"/>
        <c:crosses val="autoZero"/>
        <c:auto val="1"/>
        <c:lblOffset val="100"/>
        <c:tickLblSkip val="2"/>
        <c:tickMarkSkip val="2"/>
        <c:noMultiLvlLbl val="0"/>
      </c:catAx>
      <c:valAx>
        <c:axId val="8300551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661526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25"/>
          <c:y val="0.14"/>
          <c:w val="0.2045"/>
          <c:h val="0.2415"/>
        </c:manualLayout>
      </c:layout>
      <c:overlay val="0"/>
      <c:spPr>
        <a:noFill/>
        <a:ln w="3175">
          <a:solidFill>
            <a:srgbClr val="99CCFF"/>
          </a:solidFill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2.jpeg" /><Relationship Id="rId3" Type="http://schemas.openxmlformats.org/officeDocument/2006/relationships/hyperlink" Target="#Indice!B6" /><Relationship Id="rId4" Type="http://schemas.openxmlformats.org/officeDocument/2006/relationships/hyperlink" Target="#Indice!B6" /><Relationship Id="rId5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Relationship Id="rId3" Type="http://schemas.openxmlformats.org/officeDocument/2006/relationships/hyperlink" Target="#Indice!B6" /><Relationship Id="rId4" Type="http://schemas.openxmlformats.org/officeDocument/2006/relationships/hyperlink" Target="#Indice!B6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Relationship Id="rId8" Type="http://schemas.openxmlformats.org/officeDocument/2006/relationships/chart" Target="/xl/charts/chart5.xml" /><Relationship Id="rId9" Type="http://schemas.openxmlformats.org/officeDocument/2006/relationships/chart" Target="/xl/charts/chart6.xml" /><Relationship Id="rId10" Type="http://schemas.openxmlformats.org/officeDocument/2006/relationships/chart" Target="/xl/charts/chart7.xml" /><Relationship Id="rId11" Type="http://schemas.openxmlformats.org/officeDocument/2006/relationships/chart" Target="/xl/charts/chart8.xml" /><Relationship Id="rId1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com.pe/imgres?q=inicio&amp;num=10&amp;hl=es&amp;biw=1024&amp;bih=537&amp;tbm=isch&amp;tbnid=QlvcCqwlljmlTM:&amp;imgrefurl=http://www.umss.edu.bo/epubs/etexts/downloads/26/INICIO.htm&amp;docid=vE1NN-xssQWtEM&amp;imgurl=http://www.umss.edu.bo/epubs/etexts/downloads/26/images/Inicio.gif&amp;w=691&amp;h=607&amp;ei=zw4sUM2FB8bRrQfuu4DwAg&amp;zoom=1" TargetMode="External" /><Relationship Id="rId2" Type="http://schemas.openxmlformats.org/officeDocument/2006/relationships/image" Target="../media/image2.jpeg" /><Relationship Id="rId3" Type="http://schemas.openxmlformats.org/officeDocument/2006/relationships/hyperlink" Target="#Indice!B6" /><Relationship Id="rId4" Type="http://schemas.openxmlformats.org/officeDocument/2006/relationships/hyperlink" Target="#Indice!B6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9</xdr:col>
      <xdr:colOff>9525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575"/>
          <a:ext cx="555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790575</xdr:colOff>
      <xdr:row>0</xdr:row>
      <xdr:rowOff>123825</xdr:rowOff>
    </xdr:from>
    <xdr:to>
      <xdr:col>2</xdr:col>
      <xdr:colOff>1171575</xdr:colOff>
      <xdr:row>2</xdr:row>
      <xdr:rowOff>85725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12382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38100</xdr:rowOff>
    </xdr:from>
    <xdr:to>
      <xdr:col>2</xdr:col>
      <xdr:colOff>714375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38100"/>
          <a:ext cx="5448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11</xdr:row>
      <xdr:rowOff>19050</xdr:rowOff>
    </xdr:from>
    <xdr:to>
      <xdr:col>22</xdr:col>
      <xdr:colOff>657225</xdr:colOff>
      <xdr:row>33</xdr:row>
      <xdr:rowOff>66675</xdr:rowOff>
    </xdr:to>
    <xdr:graphicFrame>
      <xdr:nvGraphicFramePr>
        <xdr:cNvPr id="1" name="4 Gráfico"/>
        <xdr:cNvGraphicFramePr/>
      </xdr:nvGraphicFramePr>
      <xdr:xfrm>
        <a:off x="10372725" y="2219325"/>
        <a:ext cx="730567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76200</xdr:colOff>
      <xdr:row>0</xdr:row>
      <xdr:rowOff>161925</xdr:rowOff>
    </xdr:from>
    <xdr:to>
      <xdr:col>9</xdr:col>
      <xdr:colOff>466725</xdr:colOff>
      <xdr:row>2</xdr:row>
      <xdr:rowOff>114300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1619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8</xdr:col>
      <xdr:colOff>971550</xdr:colOff>
      <xdr:row>3</xdr:row>
      <xdr:rowOff>9525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38100"/>
          <a:ext cx="5915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6</xdr:col>
      <xdr:colOff>619125</xdr:colOff>
      <xdr:row>2</xdr:row>
      <xdr:rowOff>66675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1047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6</xdr:col>
      <xdr:colOff>161925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0"/>
          <a:ext cx="560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5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086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0</xdr:row>
      <xdr:rowOff>95250</xdr:rowOff>
    </xdr:from>
    <xdr:to>
      <xdr:col>6</xdr:col>
      <xdr:colOff>114300</xdr:colOff>
      <xdr:row>1</xdr:row>
      <xdr:rowOff>180975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95250"/>
          <a:ext cx="333375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1104900</xdr:colOff>
      <xdr:row>0</xdr:row>
      <xdr:rowOff>142875</xdr:rowOff>
    </xdr:from>
    <xdr:to>
      <xdr:col>6</xdr:col>
      <xdr:colOff>361950</xdr:colOff>
      <xdr:row>2</xdr:row>
      <xdr:rowOff>57150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42875"/>
          <a:ext cx="371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4</xdr:col>
      <xdr:colOff>95250</xdr:colOff>
      <xdr:row>19</xdr:row>
      <xdr:rowOff>209550</xdr:rowOff>
    </xdr:to>
    <xdr:graphicFrame>
      <xdr:nvGraphicFramePr>
        <xdr:cNvPr id="2" name="2 Gráfico"/>
        <xdr:cNvGraphicFramePr/>
      </xdr:nvGraphicFramePr>
      <xdr:xfrm>
        <a:off x="95250" y="2305050"/>
        <a:ext cx="34671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228600</xdr:colOff>
      <xdr:row>10</xdr:row>
      <xdr:rowOff>57150</xdr:rowOff>
    </xdr:from>
    <xdr:to>
      <xdr:col>7</xdr:col>
      <xdr:colOff>161925</xdr:colOff>
      <xdr:row>20</xdr:row>
      <xdr:rowOff>9525</xdr:rowOff>
    </xdr:to>
    <xdr:graphicFrame>
      <xdr:nvGraphicFramePr>
        <xdr:cNvPr id="3" name="3 Gráfico"/>
        <xdr:cNvGraphicFramePr/>
      </xdr:nvGraphicFramePr>
      <xdr:xfrm>
        <a:off x="3695700" y="2352675"/>
        <a:ext cx="3276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333375</xdr:colOff>
      <xdr:row>24</xdr:row>
      <xdr:rowOff>66675</xdr:rowOff>
    </xdr:from>
    <xdr:to>
      <xdr:col>15</xdr:col>
      <xdr:colOff>57150</xdr:colOff>
      <xdr:row>36</xdr:row>
      <xdr:rowOff>200025</xdr:rowOff>
    </xdr:to>
    <xdr:graphicFrame>
      <xdr:nvGraphicFramePr>
        <xdr:cNvPr id="4" name="8 Gráfico"/>
        <xdr:cNvGraphicFramePr/>
      </xdr:nvGraphicFramePr>
      <xdr:xfrm>
        <a:off x="7143750" y="5829300"/>
        <a:ext cx="7486650" cy="3105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457200</xdr:colOff>
      <xdr:row>10</xdr:row>
      <xdr:rowOff>142875</xdr:rowOff>
    </xdr:from>
    <xdr:to>
      <xdr:col>10</xdr:col>
      <xdr:colOff>552450</xdr:colOff>
      <xdr:row>20</xdr:row>
      <xdr:rowOff>95250</xdr:rowOff>
    </xdr:to>
    <xdr:graphicFrame>
      <xdr:nvGraphicFramePr>
        <xdr:cNvPr id="5" name="9 Gráfico"/>
        <xdr:cNvGraphicFramePr/>
      </xdr:nvGraphicFramePr>
      <xdr:xfrm>
        <a:off x="7267575" y="2438400"/>
        <a:ext cx="3438525" cy="2428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24</xdr:row>
      <xdr:rowOff>123825</xdr:rowOff>
    </xdr:from>
    <xdr:to>
      <xdr:col>3</xdr:col>
      <xdr:colOff>962025</xdr:colOff>
      <xdr:row>35</xdr:row>
      <xdr:rowOff>161925</xdr:rowOff>
    </xdr:to>
    <xdr:graphicFrame>
      <xdr:nvGraphicFramePr>
        <xdr:cNvPr id="6" name="10 Gráfico"/>
        <xdr:cNvGraphicFramePr/>
      </xdr:nvGraphicFramePr>
      <xdr:xfrm>
        <a:off x="66675" y="5886450"/>
        <a:ext cx="3248025" cy="2762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657225</xdr:colOff>
      <xdr:row>39</xdr:row>
      <xdr:rowOff>95250</xdr:rowOff>
    </xdr:from>
    <xdr:to>
      <xdr:col>12</xdr:col>
      <xdr:colOff>657225</xdr:colOff>
      <xdr:row>50</xdr:row>
      <xdr:rowOff>161925</xdr:rowOff>
    </xdr:to>
    <xdr:graphicFrame>
      <xdr:nvGraphicFramePr>
        <xdr:cNvPr id="7" name="10 Gráfico"/>
        <xdr:cNvGraphicFramePr/>
      </xdr:nvGraphicFramePr>
      <xdr:xfrm>
        <a:off x="7467600" y="9572625"/>
        <a:ext cx="4619625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24</xdr:row>
      <xdr:rowOff>114300</xdr:rowOff>
    </xdr:from>
    <xdr:to>
      <xdr:col>7</xdr:col>
      <xdr:colOff>0</xdr:colOff>
      <xdr:row>35</xdr:row>
      <xdr:rowOff>95250</xdr:rowOff>
    </xdr:to>
    <xdr:graphicFrame>
      <xdr:nvGraphicFramePr>
        <xdr:cNvPr id="8" name="11 Gráfico"/>
        <xdr:cNvGraphicFramePr/>
      </xdr:nvGraphicFramePr>
      <xdr:xfrm>
        <a:off x="3552825" y="5876925"/>
        <a:ext cx="3257550" cy="2705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247650</xdr:colOff>
      <xdr:row>40</xdr:row>
      <xdr:rowOff>104775</xdr:rowOff>
    </xdr:from>
    <xdr:to>
      <xdr:col>6</xdr:col>
      <xdr:colOff>466725</xdr:colOff>
      <xdr:row>53</xdr:row>
      <xdr:rowOff>57150</xdr:rowOff>
    </xdr:to>
    <xdr:graphicFrame>
      <xdr:nvGraphicFramePr>
        <xdr:cNvPr id="9" name="11 Gráfico"/>
        <xdr:cNvGraphicFramePr/>
      </xdr:nvGraphicFramePr>
      <xdr:xfrm>
        <a:off x="371475" y="9829800"/>
        <a:ext cx="5791200" cy="3171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0</xdr:row>
      <xdr:rowOff>38100</xdr:rowOff>
    </xdr:from>
    <xdr:to>
      <xdr:col>5</xdr:col>
      <xdr:colOff>1038225</xdr:colOff>
      <xdr:row>2</xdr:row>
      <xdr:rowOff>133350</xdr:rowOff>
    </xdr:to>
    <xdr:pic>
      <xdr:nvPicPr>
        <xdr:cNvPr id="10" name="Imagen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3825" y="38100"/>
          <a:ext cx="5495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</xdr:row>
      <xdr:rowOff>0</xdr:rowOff>
    </xdr:from>
    <xdr:ext cx="1181100" cy="219075"/>
    <xdr:sp>
      <xdr:nvSpPr>
        <xdr:cNvPr id="1" name="AutoShape 1" descr="data:image/jpeg;base64,/9j/4AAQSkZJRgABAQAAAQABAAD/2wBDAAkGBwgHBgkIBwgKCgkLDRYPDQwMDRsUFRAWIB0iIiAdHx8kKDQsJCYxJx8fLT0tMTU3Ojo6Iys/RD84QzQ5Ojf/2wBDAQoKCg0MDRoPDxo3JR8lNzc3Nzc3Nzc3Nzc3Nzc3Nzc3Nzc3Nzc3Nzc3Nzc3Nzc3Nzc3Nzc3Nzc3Nzc3Nzc3Nzf/wAARCACXAKwDASIAAhEBAxEB/8QAHAAAAQQDAQAAAAAAAAAAAAAAAAIDBwgBBQYE/8QAShAAAgADBgIFBQsJCAMBAAAAAQIAAxEEBQYSITFBUQcTImFxNjd0gbEIFCMyM0JScpGhwhU1U2J1ssHD0RYkQ1RzkuHwJWOC0v/EABkBAAMBAQEAAAAAAAAAAAAAAAABBAIDBf/EACQRAQEAAQUAAgICAwAAAAAAAAABAgMREiExMlEEEzNBFCJh/9oADAMBAAIRAxEAPwCcYIIIAIIIIAIIIIAIIIIADGrxBft3Yeu6ZeF62hZMhduLO30VHEnlGkx3j27MJWYy3ItN5OlZNkRte5nPzV7+PCsV4xFiC9MS3ibffFo62bqJaKMsuSpOyLw8dzxJgPZ0eMOky+sQ25TYZs27LDImZ5EqS9HYg1DOeJ27O3jvEgdHXSpIvcyrrxI8uz3kxyy7QBllT+QP0W7tjw5RFN1YUtFskidaphs6utZSZaseRNdh3b+Eam9LttN2zzItcsa/Fcao47v6bw+NnbMyxt2lW+DDaET/AJF/qmIE6POlO1XJku/EbzbVdo7MqeBmm2ccjTV1+8d/CdZNrs9vsAtVjny59nmyy0ubKYMrCm4IhNbKdyfkU+qPZGc6Vy51ryrrCFOWyg8kB+6JoWRIVEVZEljlBPwQptDww5MZ58NkNTfk28ItxhTyXuf0GR+4IqXbflLR9dx95i2mFPJe5/QZH7gjMbrawQQQyEEEEAEEEEAEEEEAEEEeW8bfZLusc213haJdms8oVebNaiqIA9JIG5iKOkTpYk3f1114XmpPto7My2ABpcnnl4M32gca7RyPSB0o23EHW3fcom2K66lXmVyzbSNtfoqeW548o4i57qtV62lZFkQKB8eYwOSWO/8ApB3fD6ndMsbXeduZ3M212ue+ZmJLO7cyf+0jsLlw1JsSi020rMtCitAezLPdzPfG5uO47PdUt1kDNMYDPMIqxp7B3R7TImNKVESpJ7VRTWtY74acndS6mtb1i883s5ScwZqADXQR5bZZ7La5LyrTLDSjWtTr4jlGzmWSdMbLLCk1pXlHnm3faiJlFUa5QSRoP+iOmyfudo+vi5J93N1soGZZixow+Mn1qbeMbHBeNr0wnaMtmczrvmMeusTns67lT81vbxHGO0sFht5RhPlSlU1A2bN46xzOJMFTpatarpl1oCXsijUU3Kf/AJ+yOGent3Felrb9ZOGmLlsxWuyUr6om9AwSuUgFRTU8ohGcPgpinQgEGoIp4xOqgLZ1NNCBrTwh6P8AZ6/9IPtuk20fXb2mLaYU8l7n9BkfuCKmW75a0/6j+0xbPCnkvc/oMj9wRxjs2sEEEMhBBBABBBBABBGCYj3pC6TbDhrrLvu0JbL3AoU3lyK8XPP9Ua86QB0eL8XXXhOxe+LynAzXB6izIR1k4j6I5bVOwiu2M8ZXpi629db26qyyzWTY5bVlp3mvxm7z90ai8rfbr5vF7ZeNom2q2TjQu1SdToqjgNdAI6nDmFU0tN7S+smEdmzUqo+ueOnDbxgxxuXhZZY4TtrcN4Wn3vltNpZpFj4MR2po/V5DviQLLZbPYZUuz2GTLREXQAUC955mHsgbN2jTYAbbwoqiMBXuy1inDCYpM9S5sI3V1JapP3mHUU9UA2+8Jly6NmmNVjrQbCHlAoC2ijcxtgSwFMtuJY1+2CYpCkhMylqkD1w4oqgJUjUkfbCSoVdSwG2+kIxRdKKeHsjLVZqgkMOex02hs5kUFJjMlKEHdTCpczepDAnYwBzWKMJ2a+ZL2iyqLNbu1mbL2Zmmzf138Y6LMepVTrlA09vsjEzNLJKOcpOqnWMghtiIXHbxrlb1UJW4Ez7TTi70HrMWzwoa4Xuehr/cZH7gisGIrltd1WuY85c9nmTCUnL8U1NaHkfGOi6Puka34VmJY7YZlsudm1lMxLyNKVlmu36m3KkSeerJ3OlkoI8Fy3xYL7u+Vb7rtKz7NNGjLwPEEbgjkY98MCCCCACETpqSZbTJrKktRVmY0AHMmPBf1+Xfh+7plvvW0rIkIOOpY/RUcSeUV3x90g3li+c9nUtZLoDVl2VTRnoN5hBoda6bDvpWAOr6ROlh7UJ11YUmskkgpOvBahm/0uXHtfZziLLFYrVeNq6mySmnTnJJJJ9ZZj7Y9dy3NaL3mBkJl2cGjzSK+pRxMd9clmu2yWZpV1GYyI5WZMB1ZgOJrrGsMOXrnnqTDx5bhw5LutM7ylm2ph2prkdjuUcPHeN9L6wChRB4Gp8ISGluvaMyh4Ek/wAYcBkaVD67E1AimSTxJbcrvQKlqMe19HMAIdAQNVQuuwgQyVFF0+2M55elK+oGGDirpUq9O5TD0uUWyvNFAPip9H/mG5bDZiQDxIrDqsVII9Y4eMIypu9eAG/KEUqdQDm3HBvCHJkxZYqa1OygVrDPaIoUUV1y59vugNgLRiAD64YoysSigjiNoW0wBjVRSnzWqIz2Wlq1dK0hkR1gYkstD4wlgA2ZQtdiOcKmIpqGhNQjkMQRwMANzpMq1yJkubKWajDK8twCG7iIj/EeEJthL2m7c82zAEtKJq8rw5r9/jEhFFqXluFJ3odDCWYhlEw0pxEYywmTWGdx8RhhXFF54Wt3v26Z9Fb5WQ5Jlzh3gce8aj7osVgrG114tshexsZVrlgddZJho8vvHNe8RCd94esd6GbarjmyxaZbFZsnZWI38G+4/fHIWefa7pvBJ9mmzbLbbM1VdTlaWf8AvDY+ETXHirxymU3i4UERl0cdKMi/eruy/ml2a9NkmgZZdo5U10anDjw5RJdYDVf6S3v04stMnEs8TrRJPwBRSsrqj8Uy1roDx1JqCCTSPDha6rNedomta50tZdnAdpTMVzjmT9Ecf4cZ36VMGDFVydbZFAvSx1ezmnygp2pZ7jw7wIrcwZcyEMp1VlOh7wf4iF5RtbNo6XEWJTaE95XYqyrMoKNMlihYcl5D7zG6wB+Z3AmBSZzfwjgOFa6GO9wMpNyvRAw65v4R108rcnHVxmOHTqlWYF+V20OghSCYcwojVAIO1THnQoSA0sq1dDDyChGcDlXlpFCV6JbahXOU04xmZLpSo9dIbXtVVhqNjC5TmmVzUjSBpiV8Z1cmq015w8tSNGOn9YRMBR+sQ9nY+ELqCUKigOsIFgjrS7HXqxT1kwKDTQd1O/nCR8uv1R/GFrpry27zAZLWYAVSgbj3wyUoBlorVrD5fKKkse/Ua8oSxJAor1HcYAaZmBbMoYfqw0xXiBTvh93IU55UwAcSp0ho5GGwPdDI20vskoQtSKgbbwEzlAX4MkGo31gVEdGVWYGvAwETCO2rGndpASLLwt1ou7EtvtFkOR+uaqnVWFdiOUdBMN14psLTZkxbNa5CVLNTMoHf85Y5e/zS/bwJqaWhh98eDSpGngREvKy2LeG+1nVDqrZlqGWuhI3HOhie+jj+3NswpZZ7XnYkkOT729/WR501pWmUlhMXQ60qCaUNdYjToywc+Lb9X3wrfkyyFZlqbg5rUS/XTXu8RFl5aLKRUlqFVRQADQCMRulnbSI7v3oouy+cXG9501pdjmjParKmhmzRShB+aCN6cR3mJFghkrZ0y2Wz2LG5s1kky5MiVYZCS5ctaKoGbQCHMDMBc7UZlPXNw04Qrpx84E70OT+KGsEUa65isgOacaa9wjel8nLX/jdUKT5QBakwDY6VhauwcJNILAaE7keEeaVpZwSKsh48BHCdIIV8QqWVWHvWX82vznjtllxm8T6eHO7JIQijgtseyTCwRmU51iDWWQpGZZQNK60EB97f+n7RHP8Adfp3/wAefadJrBXZFcZa0rXhGesFFGYHKNNYgk+9qf4VfVChKlEVCSyOYEL9v/B+ifadJLZjnJ+MdPCFO4VScxr/AMRosIMqYasRIoAh0FOZjcyx89tWP3R3l3m7hZtdi1UBVqAzVrUiHHbgoSvhDLuEUFuOg74RUmtTTuHGGR0kqKlgISXA3dR6oYYoCAErQg0GsLYlmI6k6CoBp/WAmCZTGuYDvywfB/pB/tjDM4UDs1ptT/mEDNroop4f1gCKb/p+Xbwoajr2iYrvwDd2Luje4Z1Fs16y7Agk2tV35K4+cvs4RDt/V/Llvr+naLJ9GHm+uH0NIjvtXzyPdhDDtlwvcdnuuxiolgtMmHeY51Zj6/sFI3UEEAEEEEAVz6cPOBO9Dk/ihnA6qbpnFiQRMNPGgh3px84E70OT+KGsDn/xjqFB+HJJJ7hGtL5OWv8AxuokqvVkE7jWI/x3pfqU/wApL/eeO6ViZMxhQF9BwjhseCl/qB/lZf7zx11Pi5fj/NKHufJUuZh+9i8tWPv/AHIr/hpEqe95H6GX/tERd7nnydvb0/8AlpErRwVU172kfoZf+0RVTHIAxtiBQKAXhNAA4axbAxU/HXlxiH9oTfbCpx22EAf7P2OtD2CFA46nWNz19TRTWgoWO1Y0WFXdsP2JEAAyGpp3mNqXJ7MtQQo3ivD4xDn8qcdwCrzHzNmooA0EAJZnq5UCmnE6wgDKAzAE76GFLVpjs9FGnZJ740wUHRaBTy2pXeMl3dqqcoPA0jAfs9hBw495jNGYjO3AfF0gBvjrO110oBC5aUU7ZeehrGVKqeyASBw14QtWmOvxAFHMwGiO/vz7eHpD0iynRh5vrh9DSK2X/wDn68dKf3h9Isn0Yeb64fQ0iO+1fPI6iCCCACCCCAK5dOHnAnehyfxQzghQ11OWG85vYIe6cPOBO9Dk/ijGBWC3M5G/Xn2CN6Xyctf4OgUKsnM24GgpHAY31vxTrrZZZ1NfnPHeO1Jer52potdo4TG4Iv1c1Kmyyzoa07Tx01fi4/j/ADSt7nnydvb0/wDlpErRFPuefJ29vT/5aRK0cFYMVPx15cYh/aE32xbAxU/HXlxiH9oTfbCpx1uF2BuGxK2bKFINK6msbUzEJoAyoO6hjT4YZ/yNYgCC2QkLWgArxjY5mDtXIza1Ndorw8jz8/lXoQlpYAUjvYGsKDSs7VBmNQVFKw2GeYwFc1OA2rDqJNaayjIopwO0aZKqGFFTKOWvOsZHVDShGgFaE1jBZEGWXlbm28OJnUigQH6233QGFFTRZZAH0oKDLQuwFe1/xGfhKE9lV7tSYQWCkVOdqnbaA0U37T8uW+m3vh/bFlOjDzfXD6GkVsv78+2+gp8O2kWT6MPN9cPoaRHfavnkdRBBBABBBBAFcunHzgTvQ5P4oxgapuVxmCr1xBJHcIz04+cCd6HJ/FHgwpeVisl2NLtVskyXM0nJMamlBQ+2N6V/2c9aW4dOrZvgGCkKoGrBTHBY1oL8UIhVfe0ugPHtPrHWG+7qy0a9LKSNkEwRx+LbTJtd89bZ50ucgkIC8s1Fatp46iN6lnFx0MbMu4lz3PPk7e3p/wDLSJWiKfc8+Tt7en/y0iVo4qgYqfjry4xD+0Jvti2Bip+OvLjEP7Qm+2FTjpsOZVuOzClM6nMw3OpjZVRfmkClFUDfSNHcF7WCzXTZJc62yJcxFNUZu0u+8bAX1dWo/Ktm7W8wuKeAirGzjEGeGXK9NlLmGaoABUZqUVTUaQ9JlylBIksaa1Ybx4ExDc6UVbzsgG4Jfc84WMQXR8++bJT9VwCY1yhTDL6e4DQZuwNtocUSVJqc1eEas4guUEFb0sp1GpmD2w4cR3Qdr3sYHfNrByn2fHL6bAdQB8UH/wCdYw7AEKqlfV7Y8BxFdPG+bIK7EPpDX5duhyAb2s5rymDWDlBxy+kfX7+fLf8A67RZTow831w+hpFaL3mS517WybImCZKacxVxsw5xZfow831w+hpEl9q6eR1EEEEAEEEEAVy6cfOBO9Dk/ijgYIITUEEEEIJ19zz5O3t6f/LSJWggjTIMVPx15cYh/aE32wQQqcaSCCCEYggggAggggMQQQQEyN4tF0Yeb64fQ0gghwq6iCCCGT//2Q==">
          <a:hlinkClick r:id="rId1"/>
        </xdr:cNvPr>
        <xdr:cNvSpPr>
          <a:spLocks noChangeAspect="1"/>
        </xdr:cNvSpPr>
      </xdr:nvSpPr>
      <xdr:spPr>
        <a:xfrm>
          <a:off x="6038850" y="762000"/>
          <a:ext cx="1181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904875</xdr:colOff>
      <xdr:row>0</xdr:row>
      <xdr:rowOff>133350</xdr:rowOff>
    </xdr:from>
    <xdr:to>
      <xdr:col>3</xdr:col>
      <xdr:colOff>1276350</xdr:colOff>
      <xdr:row>2</xdr:row>
      <xdr:rowOff>85725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133350"/>
          <a:ext cx="37147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38100</xdr:rowOff>
    </xdr:from>
    <xdr:to>
      <xdr:col>3</xdr:col>
      <xdr:colOff>828675</xdr:colOff>
      <xdr:row>2</xdr:row>
      <xdr:rowOff>142875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38100"/>
          <a:ext cx="5267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104775</xdr:rowOff>
    </xdr:from>
    <xdr:to>
      <xdr:col>4</xdr:col>
      <xdr:colOff>85725</xdr:colOff>
      <xdr:row>2</xdr:row>
      <xdr:rowOff>57150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104775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933450</xdr:colOff>
      <xdr:row>2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38100"/>
          <a:ext cx="5076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704850</xdr:colOff>
      <xdr:row>0</xdr:row>
      <xdr:rowOff>123825</xdr:rowOff>
    </xdr:from>
    <xdr:to>
      <xdr:col>3</xdr:col>
      <xdr:colOff>1095375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28575</xdr:rowOff>
    </xdr:from>
    <xdr:to>
      <xdr:col>3</xdr:col>
      <xdr:colOff>628650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28575"/>
          <a:ext cx="4800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0</xdr:row>
      <xdr:rowOff>123825</xdr:rowOff>
    </xdr:from>
    <xdr:to>
      <xdr:col>3</xdr:col>
      <xdr:colOff>942975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19050</xdr:rowOff>
    </xdr:from>
    <xdr:to>
      <xdr:col>3</xdr:col>
      <xdr:colOff>476250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19050"/>
          <a:ext cx="5514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0</xdr:row>
      <xdr:rowOff>123825</xdr:rowOff>
    </xdr:from>
    <xdr:to>
      <xdr:col>3</xdr:col>
      <xdr:colOff>828675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28575</xdr:rowOff>
    </xdr:from>
    <xdr:to>
      <xdr:col>3</xdr:col>
      <xdr:colOff>371475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8575"/>
          <a:ext cx="5419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jpisconte/AppData/Roaming/Microsoft/Excel/ENERO%202017.xls#'GR-GL-C1'!B5" TargetMode="External" /><Relationship Id="rId2" Type="http://schemas.openxmlformats.org/officeDocument/2006/relationships/hyperlink" Target="../../../../../jpisconte/AppData/Roaming/Microsoft/Excel/Reporte_Deuda_GRGL_28022017.xls#'DGRGL-C1'!B5" TargetMode="External" /><Relationship Id="rId3" Type="http://schemas.openxmlformats.org/officeDocument/2006/relationships/hyperlink" Target="../../../../../jpisconte/AppData/Roaming/Microsoft/Excel/Reporte_Deuda_GRGL_28022017.xls#'DGRGL-C3'!B5" TargetMode="External" /><Relationship Id="rId4" Type="http://schemas.openxmlformats.org/officeDocument/2006/relationships/hyperlink" Target="../../../../../jpisconte/AppData/Roaming/Microsoft/Excel/Reporte_Deuda_GRGL_28022017.xls#'DGRGL-C4'!B5" TargetMode="External" /><Relationship Id="rId5" Type="http://schemas.openxmlformats.org/officeDocument/2006/relationships/hyperlink" Target="../../../../../jpisconte/AppData/Roaming/Microsoft/Excel/Reporte_Deuda_GRGL_28022017.xls#'DGRGL-C5'!B5" TargetMode="External" /><Relationship Id="rId6" Type="http://schemas.openxmlformats.org/officeDocument/2006/relationships/hyperlink" Target="../../../../../jpisconte/AppData/Roaming/Microsoft/Excel/Reporte_Deuda_GRGL_28022017.xls#'DGRGL-C6'!B5" TargetMode="External" /><Relationship Id="rId7" Type="http://schemas.openxmlformats.org/officeDocument/2006/relationships/hyperlink" Target="../../../../../jpisconte/AppData/Roaming/Microsoft/Excel/Reporte_Deuda_GRGL_28022017.xls#'DGRGL-C7'!B5" TargetMode="External" /><Relationship Id="rId8" Type="http://schemas.openxmlformats.org/officeDocument/2006/relationships/hyperlink" Target="../../../../../jpisconte/AppData/Roaming/Microsoft/Excel/Reporte_Deuda_GRGL_28022017.xls#Resumen!B5" TargetMode="External" /><Relationship Id="rId9" Type="http://schemas.openxmlformats.org/officeDocument/2006/relationships/hyperlink" Target="../../../../../jpisconte/AppData/Roaming/Microsoft/Excel/Reporte_Deuda_GRGL_28022017.xls#Portada!B6" TargetMode="External" /><Relationship Id="rId10" Type="http://schemas.openxmlformats.org/officeDocument/2006/relationships/hyperlink" Target="../../../../../jpisconte/AppData/Roaming/Microsoft/Excel/Reporte_Deuda_GRGL_28022017.xls#'Resumen-Gr&#225;ficos'!B5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f.gob.pe/index.php?option=com_content&amp;view=article&amp;id=2031&amp;Itemid=101432&amp;lang=e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19"/>
  <sheetViews>
    <sheetView showGridLines="0" tabSelected="1" zoomScale="80" zoomScaleNormal="80" zoomScalePageLayoutView="0" workbookViewId="0" topLeftCell="A1">
      <selection activeCell="B6" sqref="B6:J6"/>
    </sheetView>
  </sheetViews>
  <sheetFormatPr defaultColWidth="11.421875" defaultRowHeight="15"/>
  <cols>
    <col min="1" max="1" width="4.28125" style="1" customWidth="1"/>
    <col min="2" max="2" width="11.421875" style="1" customWidth="1"/>
    <col min="3" max="3" width="3.140625" style="1" customWidth="1"/>
    <col min="4" max="16384" width="11.421875" style="1" customWidth="1"/>
  </cols>
  <sheetData>
    <row r="1" ht="15"/>
    <row r="2" ht="15"/>
    <row r="3" ht="15"/>
    <row r="4" ht="11.25" customHeight="1"/>
    <row r="5" ht="12.75" customHeight="1"/>
    <row r="6" spans="2:12" ht="36" customHeight="1">
      <c r="B6" s="506" t="s">
        <v>237</v>
      </c>
      <c r="C6" s="506"/>
      <c r="D6" s="506"/>
      <c r="E6" s="506"/>
      <c r="F6" s="506"/>
      <c r="G6" s="506"/>
      <c r="H6" s="506"/>
      <c r="I6" s="506"/>
      <c r="J6" s="506"/>
      <c r="K6" s="115"/>
      <c r="L6" s="115"/>
    </row>
    <row r="7" spans="2:12" ht="24.75" customHeight="1">
      <c r="B7" s="507" t="s">
        <v>413</v>
      </c>
      <c r="C7" s="507"/>
      <c r="D7" s="507"/>
      <c r="E7" s="507"/>
      <c r="F7" s="507"/>
      <c r="G7" s="507"/>
      <c r="H7" s="507"/>
      <c r="I7" s="507"/>
      <c r="J7" s="507"/>
      <c r="K7" s="115"/>
      <c r="L7" s="115"/>
    </row>
    <row r="8" spans="2:12" ht="19.5" customHeight="1">
      <c r="B8" s="206"/>
      <c r="C8" s="206"/>
      <c r="D8" s="76"/>
      <c r="E8" s="207"/>
      <c r="F8" s="207"/>
      <c r="G8" s="208"/>
      <c r="H8" s="208"/>
      <c r="I8" s="115"/>
      <c r="J8" s="115"/>
      <c r="K8" s="115"/>
      <c r="L8" s="115"/>
    </row>
    <row r="9" spans="2:12" ht="19.5" customHeight="1">
      <c r="B9" s="80"/>
      <c r="C9" s="80"/>
      <c r="D9" s="505" t="s">
        <v>52</v>
      </c>
      <c r="E9" s="505"/>
      <c r="F9" s="505"/>
      <c r="G9" s="505"/>
      <c r="H9" s="505"/>
      <c r="I9" s="505"/>
      <c r="J9" s="505"/>
      <c r="K9" s="115"/>
      <c r="L9" s="115"/>
    </row>
    <row r="10" spans="2:12" ht="19.5" customHeight="1">
      <c r="B10" s="115"/>
      <c r="C10" s="80"/>
      <c r="D10" s="509" t="s">
        <v>167</v>
      </c>
      <c r="E10" s="509"/>
      <c r="F10" s="509"/>
      <c r="G10" s="509"/>
      <c r="H10" s="509"/>
      <c r="I10" s="509"/>
      <c r="J10" s="509"/>
      <c r="K10" s="115"/>
      <c r="L10" s="115"/>
    </row>
    <row r="11" spans="2:10" ht="19.5" customHeight="1">
      <c r="B11" s="115"/>
      <c r="C11" s="80"/>
      <c r="D11" s="505" t="s">
        <v>168</v>
      </c>
      <c r="E11" s="505"/>
      <c r="F11" s="505"/>
      <c r="G11" s="505"/>
      <c r="H11" s="505"/>
      <c r="I11" s="505"/>
      <c r="J11" s="505"/>
    </row>
    <row r="12" spans="2:10" ht="9.75" customHeight="1">
      <c r="B12" s="115"/>
      <c r="C12" s="80"/>
      <c r="D12" s="322"/>
      <c r="E12" s="207"/>
      <c r="F12" s="207"/>
      <c r="G12" s="208"/>
      <c r="H12" s="208"/>
      <c r="I12" s="115"/>
      <c r="J12" s="115"/>
    </row>
    <row r="13" spans="2:11" ht="19.5" customHeight="1">
      <c r="B13" s="3" t="s">
        <v>17</v>
      </c>
      <c r="C13" s="3" t="s">
        <v>1</v>
      </c>
      <c r="D13" s="510" t="s">
        <v>122</v>
      </c>
      <c r="E13" s="510"/>
      <c r="F13" s="510"/>
      <c r="G13" s="510"/>
      <c r="H13" s="510"/>
      <c r="I13" s="510"/>
      <c r="J13" s="510"/>
      <c r="K13" s="453"/>
    </row>
    <row r="14" spans="2:11" ht="19.5" customHeight="1">
      <c r="B14" s="3" t="s">
        <v>18</v>
      </c>
      <c r="C14" s="3" t="s">
        <v>1</v>
      </c>
      <c r="D14" s="509" t="s">
        <v>79</v>
      </c>
      <c r="E14" s="509"/>
      <c r="F14" s="509"/>
      <c r="G14" s="509"/>
      <c r="H14" s="509"/>
      <c r="I14" s="509"/>
      <c r="J14" s="509"/>
      <c r="K14" s="453"/>
    </row>
    <row r="15" spans="2:11" ht="19.5" customHeight="1">
      <c r="B15" s="3" t="s">
        <v>19</v>
      </c>
      <c r="C15" s="3" t="s">
        <v>1</v>
      </c>
      <c r="D15" s="508" t="s">
        <v>54</v>
      </c>
      <c r="E15" s="508"/>
      <c r="F15" s="508"/>
      <c r="G15" s="508"/>
      <c r="H15" s="508"/>
      <c r="I15" s="508"/>
      <c r="J15" s="508"/>
      <c r="K15" s="453"/>
    </row>
    <row r="16" spans="2:11" ht="19.5" customHeight="1">
      <c r="B16" s="3" t="s">
        <v>20</v>
      </c>
      <c r="C16" s="3" t="s">
        <v>1</v>
      </c>
      <c r="D16" s="505" t="s">
        <v>100</v>
      </c>
      <c r="E16" s="505"/>
      <c r="F16" s="505"/>
      <c r="G16" s="505"/>
      <c r="H16" s="505"/>
      <c r="I16" s="505"/>
      <c r="J16" s="505"/>
      <c r="K16" s="453"/>
    </row>
    <row r="17" spans="2:11" ht="19.5" customHeight="1">
      <c r="B17" s="3" t="s">
        <v>21</v>
      </c>
      <c r="C17" s="3" t="s">
        <v>1</v>
      </c>
      <c r="D17" s="505" t="s">
        <v>84</v>
      </c>
      <c r="E17" s="505"/>
      <c r="F17" s="505"/>
      <c r="G17" s="505"/>
      <c r="H17" s="505"/>
      <c r="I17" s="505"/>
      <c r="J17" s="505"/>
      <c r="K17" s="453"/>
    </row>
    <row r="18" spans="2:11" ht="19.5" customHeight="1">
      <c r="B18" s="3" t="s">
        <v>22</v>
      </c>
      <c r="C18" s="3" t="s">
        <v>1</v>
      </c>
      <c r="D18" s="505" t="s">
        <v>99</v>
      </c>
      <c r="E18" s="505"/>
      <c r="F18" s="505"/>
      <c r="G18" s="505"/>
      <c r="H18" s="505"/>
      <c r="I18" s="505"/>
      <c r="J18" s="505"/>
      <c r="K18" s="453"/>
    </row>
    <row r="19" spans="2:11" ht="19.5" customHeight="1">
      <c r="B19" s="3" t="s">
        <v>98</v>
      </c>
      <c r="C19" s="3" t="s">
        <v>1</v>
      </c>
      <c r="D19" s="505" t="s">
        <v>421</v>
      </c>
      <c r="E19" s="505"/>
      <c r="F19" s="505"/>
      <c r="G19" s="505"/>
      <c r="H19" s="505"/>
      <c r="I19" s="505"/>
      <c r="J19" s="505"/>
      <c r="K19" s="505"/>
    </row>
  </sheetData>
  <sheetProtection/>
  <mergeCells count="12">
    <mergeCell ref="D10:J10"/>
    <mergeCell ref="D9:J9"/>
    <mergeCell ref="D19:K19"/>
    <mergeCell ref="D18:J18"/>
    <mergeCell ref="D17:J17"/>
    <mergeCell ref="D16:J16"/>
    <mergeCell ref="B6:J6"/>
    <mergeCell ref="B7:J7"/>
    <mergeCell ref="D15:J15"/>
    <mergeCell ref="D14:J14"/>
    <mergeCell ref="D13:J13"/>
    <mergeCell ref="D11:J11"/>
  </mergeCells>
  <hyperlinks>
    <hyperlink ref="D13" r:id="rId1" display="POR TIPO DE DEUDA Y SECTOR INSTITUCIONAL"/>
    <hyperlink ref="D15" location="'Tipo Instrum.'!A1" display="DEUDA SEGÚN TIPO DE INSTRUMENTO"/>
    <hyperlink ref="D16" location="Moneda!A1" display="DEUDA POR TIPO DE MONEDA"/>
    <hyperlink ref="D17" location="Acreedor!A1" display="DEUDA POR ACREEDOR"/>
    <hyperlink ref="D11" location="'Resumen Graficos'!A1" display="RESUMEN DE GRÁFICOS"/>
    <hyperlink ref="D19" location="'Total de Proy Serv'!A1" display="SERVICIO PROYECTADO POR TIPO DE DEUDA"/>
    <hyperlink ref="D18" location="Deudor!A1" display="POR SECTOR INSTITUCIONAL Y DEUDOR"/>
    <hyperlink ref="D10" location="'Resumen Cuadros'!A1" display="RESUMEN DE CUADROS"/>
    <hyperlink ref="D9" location="Portada!A1" display="PORTADA"/>
    <hyperlink ref="D13:I13" r:id="rId2" display="POR TIPO DE DEUDA Y SECTOR INSTITUCIONAL"/>
    <hyperlink ref="D15:I15" r:id="rId3" display="POR TIPO DE INSTRUMENTO Y SECTOR INSTITUCIONAL"/>
    <hyperlink ref="D16:I16" r:id="rId4" display="POR TIPO DE MONEDA Y SECTOR INSTITUCIONAL"/>
    <hyperlink ref="D17:I17" r:id="rId5" display="POR SECTOR INSTITUCIONAL Y ACREEDOR"/>
    <hyperlink ref="D18:I18" r:id="rId6" display="POR SECTOR INSTITUCIONAL Y DEUDOR"/>
    <hyperlink ref="D19:I19" r:id="rId7" display="SERVICIO PROYECTADO POR TIPO DE DEUDA"/>
    <hyperlink ref="D10:I10" r:id="rId8" display="RESUMEN"/>
    <hyperlink ref="D9:I9" r:id="rId9" display="PORTADA"/>
    <hyperlink ref="D11:I11" r:id="rId10" display="RESUMEN DE GRÁFICOS"/>
    <hyperlink ref="D9:J9" location="Portada!B6" display="PORTADA"/>
    <hyperlink ref="D11:J11" location="'Resumen-Gráficos'!B5" display="RESUMEN GRÁFICOS"/>
    <hyperlink ref="D13:J13" location="'DGRGL-C1'!B5" display="POR TIPO DE DEUDA Y SECTOR INSTITUCIONAL"/>
    <hyperlink ref="D15:J15" location="'DGRGL-C3'!B5" display="POR TIPO DE INSTRUMENTO Y SECTOR INSTITUCIONAL"/>
    <hyperlink ref="D16:J16" location="'DGRGL-C4'!B5" display="POR TIPO DE MONEDA Y SECTOR INSTITUCIONAL"/>
    <hyperlink ref="D17:J17" location="'DGRGL-C5'!B5" display="POR SECTOR INSTITUCIONAL Y ACREEDOR"/>
    <hyperlink ref="D18:J18" location="'DGRGL-C6'!B5" display="POR SECTOR INSTITUCIONAL Y DEUDOR"/>
    <hyperlink ref="D19:K19" location="'DGRGL-C7'!B5" display="SERVICIO ANUAL - POR TIPO DE DEUDA - PERÍODO: DESDE MARZO 2020 AL 2040"/>
    <hyperlink ref="D10:J10" location="Resumen!B5" display="CUADROS RESUMEN"/>
    <hyperlink ref="D14:J14" location="'DGRGL-C2'!B5" display="POR PLAZO Y SECTOR INSTITUCIONAL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75" r:id="rId12"/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G305"/>
  <sheetViews>
    <sheetView showGridLines="0" zoomScale="80" zoomScaleNormal="80" zoomScaleSheetLayoutView="50" zoomScalePageLayoutView="0" workbookViewId="0" topLeftCell="A1">
      <selection activeCell="B5" sqref="B5"/>
    </sheetView>
  </sheetViews>
  <sheetFormatPr defaultColWidth="11.421875" defaultRowHeight="15"/>
  <cols>
    <col min="1" max="1" width="4.28125" style="75" customWidth="1"/>
    <col min="2" max="2" width="70.7109375" style="75" customWidth="1"/>
    <col min="3" max="4" width="19.7109375" style="75" customWidth="1"/>
    <col min="5" max="5" width="11.421875" style="75" customWidth="1"/>
    <col min="6" max="16384" width="11.421875" style="75" customWidth="1"/>
  </cols>
  <sheetData>
    <row r="1" ht="15"/>
    <row r="2" ht="15"/>
    <row r="3" ht="15"/>
    <row r="5" spans="2:3" ht="18" customHeight="1">
      <c r="B5" s="86" t="s">
        <v>22</v>
      </c>
      <c r="C5" s="86"/>
    </row>
    <row r="6" spans="2:4" ht="18">
      <c r="B6" s="138" t="s">
        <v>242</v>
      </c>
      <c r="C6" s="138"/>
      <c r="D6" s="138"/>
    </row>
    <row r="7" spans="2:4" ht="15.75" customHeight="1">
      <c r="B7" s="136" t="s">
        <v>64</v>
      </c>
      <c r="C7" s="136"/>
      <c r="D7" s="136"/>
    </row>
    <row r="8" spans="2:4" ht="15.75" customHeight="1">
      <c r="B8" s="136" t="s">
        <v>99</v>
      </c>
      <c r="C8" s="136"/>
      <c r="D8" s="136"/>
    </row>
    <row r="9" spans="2:5" ht="15" customHeight="1">
      <c r="B9" s="329" t="str">
        <f>+'DGRGL-C1'!B9</f>
        <v>Al 31 de marzo de 2024</v>
      </c>
      <c r="C9" s="329"/>
      <c r="D9" s="274"/>
      <c r="E9" s="315">
        <f>+Portada!I34</f>
        <v>3.721</v>
      </c>
    </row>
    <row r="10" spans="2:4" ht="7.5" customHeight="1">
      <c r="B10" s="275"/>
      <c r="C10" s="275"/>
      <c r="D10" s="275"/>
    </row>
    <row r="11" spans="2:4" ht="12" customHeight="1">
      <c r="B11" s="583" t="s">
        <v>95</v>
      </c>
      <c r="C11" s="576" t="s">
        <v>53</v>
      </c>
      <c r="D11" s="579" t="s">
        <v>130</v>
      </c>
    </row>
    <row r="12" spans="2:4" ht="12" customHeight="1">
      <c r="B12" s="584"/>
      <c r="C12" s="577"/>
      <c r="D12" s="580"/>
    </row>
    <row r="13" spans="2:5" ht="12" customHeight="1">
      <c r="B13" s="585"/>
      <c r="C13" s="578"/>
      <c r="D13" s="581"/>
      <c r="E13" s="193"/>
    </row>
    <row r="14" spans="2:5" ht="9.75" customHeight="1">
      <c r="B14" s="98"/>
      <c r="C14" s="92"/>
      <c r="D14" s="99"/>
      <c r="E14" s="193"/>
    </row>
    <row r="15" spans="2:5" ht="20.25" customHeight="1">
      <c r="B15" s="100" t="s">
        <v>109</v>
      </c>
      <c r="C15" s="95">
        <f>SUM(C17:C33)</f>
        <v>374431.20161000005</v>
      </c>
      <c r="D15" s="95">
        <f>SUM(D17:D33)</f>
        <v>1393258.5012</v>
      </c>
      <c r="E15" s="193"/>
    </row>
    <row r="16" spans="2:5" ht="7.5" customHeight="1">
      <c r="B16" s="101"/>
      <c r="C16" s="95"/>
      <c r="D16" s="95"/>
      <c r="E16" s="193"/>
    </row>
    <row r="17" spans="2:5" ht="15.75" customHeight="1">
      <c r="B17" s="395" t="s">
        <v>205</v>
      </c>
      <c r="C17" s="357">
        <v>93362.64740999999</v>
      </c>
      <c r="D17" s="357">
        <f aca="true" t="shared" si="0" ref="D17:D33">ROUND(+C17*$E$9,5)</f>
        <v>347402.41101</v>
      </c>
      <c r="E17" s="193"/>
    </row>
    <row r="18" spans="2:5" ht="15.75" customHeight="1">
      <c r="B18" s="395" t="s">
        <v>96</v>
      </c>
      <c r="C18" s="357">
        <v>85731.25997</v>
      </c>
      <c r="D18" s="357">
        <f t="shared" si="0"/>
        <v>319006.01835</v>
      </c>
      <c r="E18" s="193"/>
    </row>
    <row r="19" spans="2:5" ht="15.75" customHeight="1">
      <c r="B19" s="395" t="s">
        <v>226</v>
      </c>
      <c r="C19" s="357">
        <v>65179.70415</v>
      </c>
      <c r="D19" s="357">
        <f t="shared" si="0"/>
        <v>242533.67914</v>
      </c>
      <c r="E19" s="193"/>
    </row>
    <row r="20" spans="2:5" ht="15.75" customHeight="1">
      <c r="B20" s="395" t="s">
        <v>206</v>
      </c>
      <c r="C20" s="357">
        <v>31045.053339999995</v>
      </c>
      <c r="D20" s="357">
        <f aca="true" t="shared" si="1" ref="D20:D28">ROUND(+C20*$E$9,5)</f>
        <v>115518.64348</v>
      </c>
      <c r="E20" s="193"/>
    </row>
    <row r="21" spans="2:5" ht="15.75" customHeight="1">
      <c r="B21" s="395" t="s">
        <v>213</v>
      </c>
      <c r="C21" s="357">
        <v>20462.984920000003</v>
      </c>
      <c r="D21" s="357">
        <f t="shared" si="1"/>
        <v>76142.76689</v>
      </c>
      <c r="E21" s="193"/>
    </row>
    <row r="22" spans="2:5" ht="15.75" customHeight="1">
      <c r="B22" s="468" t="s">
        <v>245</v>
      </c>
      <c r="C22" s="357">
        <v>16412.52779</v>
      </c>
      <c r="D22" s="357">
        <f t="shared" si="1"/>
        <v>61071.01591</v>
      </c>
      <c r="E22" s="193"/>
    </row>
    <row r="23" spans="2:5" ht="15.75" customHeight="1">
      <c r="B23" s="395" t="s">
        <v>207</v>
      </c>
      <c r="C23" s="357">
        <v>11966.18429</v>
      </c>
      <c r="D23" s="357">
        <f t="shared" si="1"/>
        <v>44526.17174</v>
      </c>
      <c r="E23" s="193"/>
    </row>
    <row r="24" spans="2:5" ht="15.75" customHeight="1">
      <c r="B24" s="395" t="s">
        <v>261</v>
      </c>
      <c r="C24" s="357">
        <v>10567.06874</v>
      </c>
      <c r="D24" s="357">
        <f t="shared" si="1"/>
        <v>39320.06278</v>
      </c>
      <c r="E24" s="193"/>
    </row>
    <row r="25" spans="2:5" ht="15.75" customHeight="1">
      <c r="B25" s="395" t="s">
        <v>174</v>
      </c>
      <c r="C25" s="357">
        <v>10287.2441</v>
      </c>
      <c r="D25" s="357">
        <f t="shared" si="1"/>
        <v>38278.8353</v>
      </c>
      <c r="E25" s="193"/>
    </row>
    <row r="26" spans="2:5" ht="15.75" customHeight="1">
      <c r="B26" s="395" t="s">
        <v>211</v>
      </c>
      <c r="C26" s="357">
        <v>7832.9820899999995</v>
      </c>
      <c r="D26" s="357">
        <f t="shared" si="1"/>
        <v>29146.52636</v>
      </c>
      <c r="E26" s="193"/>
    </row>
    <row r="27" spans="2:5" ht="15.75" customHeight="1">
      <c r="B27" s="395" t="s">
        <v>234</v>
      </c>
      <c r="C27" s="357">
        <v>6591.37756</v>
      </c>
      <c r="D27" s="357">
        <f t="shared" si="1"/>
        <v>24526.5159</v>
      </c>
      <c r="E27" s="193"/>
    </row>
    <row r="28" spans="2:5" ht="15.75" customHeight="1">
      <c r="B28" s="395" t="s">
        <v>244</v>
      </c>
      <c r="C28" s="357">
        <v>6024.3927699999995</v>
      </c>
      <c r="D28" s="357">
        <f t="shared" si="1"/>
        <v>22416.7655</v>
      </c>
      <c r="E28" s="193"/>
    </row>
    <row r="29" spans="2:5" ht="15.75" customHeight="1">
      <c r="B29" s="395" t="s">
        <v>228</v>
      </c>
      <c r="C29" s="357">
        <v>4132.27182</v>
      </c>
      <c r="D29" s="357">
        <f t="shared" si="0"/>
        <v>15376.18344</v>
      </c>
      <c r="E29" s="193"/>
    </row>
    <row r="30" spans="2:5" ht="15.75" customHeight="1">
      <c r="B30" s="395" t="s">
        <v>227</v>
      </c>
      <c r="C30" s="357">
        <v>3717.6136</v>
      </c>
      <c r="D30" s="357">
        <f t="shared" si="0"/>
        <v>13833.24021</v>
      </c>
      <c r="E30" s="193"/>
    </row>
    <row r="31" spans="2:5" ht="15.75" customHeight="1">
      <c r="B31" s="395" t="s">
        <v>120</v>
      </c>
      <c r="C31" s="357">
        <v>1117.8886699999998</v>
      </c>
      <c r="D31" s="357">
        <f t="shared" si="0"/>
        <v>4159.66374</v>
      </c>
      <c r="E31" s="193"/>
    </row>
    <row r="32" spans="2:5" ht="15.75" customHeight="1">
      <c r="B32" s="395" t="s">
        <v>280</v>
      </c>
      <c r="C32" s="357">
        <v>0.00037</v>
      </c>
      <c r="D32" s="357">
        <f t="shared" si="0"/>
        <v>0.00138</v>
      </c>
      <c r="E32" s="193"/>
    </row>
    <row r="33" spans="2:5" ht="15.75" customHeight="1">
      <c r="B33" s="395" t="s">
        <v>200</v>
      </c>
      <c r="C33" s="357">
        <v>2E-05</v>
      </c>
      <c r="D33" s="357">
        <f t="shared" si="0"/>
        <v>7E-05</v>
      </c>
      <c r="E33" s="193"/>
    </row>
    <row r="34" spans="2:5" ht="12" customHeight="1">
      <c r="B34" s="469"/>
      <c r="C34" s="358"/>
      <c r="D34" s="358"/>
      <c r="E34" s="193"/>
    </row>
    <row r="35" spans="2:5" ht="20.25" customHeight="1">
      <c r="B35" s="470" t="s">
        <v>110</v>
      </c>
      <c r="C35" s="95">
        <f>SUM(C37:C161)</f>
        <v>582197.71179</v>
      </c>
      <c r="D35" s="95">
        <f>SUM(D37:D161)</f>
        <v>2166357.68559</v>
      </c>
      <c r="E35" s="193"/>
    </row>
    <row r="36" spans="2:5" ht="7.5" customHeight="1">
      <c r="B36" s="471"/>
      <c r="C36" s="95"/>
      <c r="D36" s="95"/>
      <c r="E36" s="193"/>
    </row>
    <row r="37" spans="2:5" ht="15.75" customHeight="1">
      <c r="B37" s="468" t="s">
        <v>165</v>
      </c>
      <c r="C37" s="357">
        <v>379217.14577999996</v>
      </c>
      <c r="D37" s="357">
        <f aca="true" t="shared" si="2" ref="D37:D68">ROUND(+C37*$E$9,5)</f>
        <v>1411066.99945</v>
      </c>
      <c r="E37" s="193"/>
    </row>
    <row r="38" spans="2:5" ht="15.75" customHeight="1">
      <c r="B38" s="468" t="s">
        <v>414</v>
      </c>
      <c r="C38" s="357">
        <v>8824.07729</v>
      </c>
      <c r="D38" s="357">
        <f t="shared" si="2"/>
        <v>32834.3916</v>
      </c>
      <c r="E38" s="193"/>
    </row>
    <row r="39" spans="2:5" ht="15.75" customHeight="1">
      <c r="B39" s="468" t="s">
        <v>343</v>
      </c>
      <c r="C39" s="357">
        <v>8547.282640000001</v>
      </c>
      <c r="D39" s="357">
        <f t="shared" si="2"/>
        <v>31804.4387</v>
      </c>
      <c r="E39" s="193"/>
    </row>
    <row r="40" spans="2:5" ht="15.75" customHeight="1">
      <c r="B40" s="468" t="s">
        <v>266</v>
      </c>
      <c r="C40" s="357">
        <v>7778.93942</v>
      </c>
      <c r="D40" s="357">
        <f t="shared" si="2"/>
        <v>28945.43358</v>
      </c>
      <c r="E40" s="193"/>
    </row>
    <row r="41" spans="2:5" ht="15.75" customHeight="1">
      <c r="B41" s="468" t="s">
        <v>287</v>
      </c>
      <c r="C41" s="357">
        <v>7114.87064</v>
      </c>
      <c r="D41" s="357">
        <f t="shared" si="2"/>
        <v>26474.43365</v>
      </c>
      <c r="E41" s="193"/>
    </row>
    <row r="42" spans="2:5" ht="15.75" customHeight="1">
      <c r="B42" s="468" t="s">
        <v>286</v>
      </c>
      <c r="C42" s="357">
        <v>6366.150360000001</v>
      </c>
      <c r="D42" s="357">
        <f t="shared" si="2"/>
        <v>23688.44549</v>
      </c>
      <c r="E42" s="193"/>
    </row>
    <row r="43" spans="2:5" ht="15.75" customHeight="1">
      <c r="B43" s="468" t="s">
        <v>212</v>
      </c>
      <c r="C43" s="357">
        <v>6250.98535</v>
      </c>
      <c r="D43" s="357">
        <f t="shared" si="2"/>
        <v>23259.91649</v>
      </c>
      <c r="E43" s="193"/>
    </row>
    <row r="44" spans="2:5" ht="15.75" customHeight="1">
      <c r="B44" s="468" t="s">
        <v>290</v>
      </c>
      <c r="C44" s="357">
        <v>6188.998820000001</v>
      </c>
      <c r="D44" s="357">
        <f t="shared" si="2"/>
        <v>23029.26461</v>
      </c>
      <c r="E44" s="193"/>
    </row>
    <row r="45" spans="2:5" ht="15.75" customHeight="1">
      <c r="B45" s="468" t="s">
        <v>359</v>
      </c>
      <c r="C45" s="357">
        <v>6142.97852</v>
      </c>
      <c r="D45" s="357">
        <f t="shared" si="2"/>
        <v>22858.02307</v>
      </c>
      <c r="E45" s="193"/>
    </row>
    <row r="46" spans="2:5" ht="15.75" customHeight="1">
      <c r="B46" s="468" t="s">
        <v>173</v>
      </c>
      <c r="C46" s="357">
        <v>5436.32777</v>
      </c>
      <c r="D46" s="357">
        <f t="shared" si="2"/>
        <v>20228.57563</v>
      </c>
      <c r="E46" s="193"/>
    </row>
    <row r="47" spans="2:5" ht="15.75" customHeight="1">
      <c r="B47" s="468" t="s">
        <v>289</v>
      </c>
      <c r="C47" s="357">
        <v>5011.31668</v>
      </c>
      <c r="D47" s="357">
        <f t="shared" si="2"/>
        <v>18647.10937</v>
      </c>
      <c r="E47" s="193"/>
    </row>
    <row r="48" spans="2:5" ht="15.75" customHeight="1">
      <c r="B48" s="468" t="s">
        <v>276</v>
      </c>
      <c r="C48" s="357">
        <v>4799.71088</v>
      </c>
      <c r="D48" s="357">
        <f t="shared" si="2"/>
        <v>17859.72418</v>
      </c>
      <c r="E48" s="193"/>
    </row>
    <row r="49" spans="2:5" ht="15.75" customHeight="1">
      <c r="B49" s="468" t="s">
        <v>346</v>
      </c>
      <c r="C49" s="357">
        <v>4700.9446100000005</v>
      </c>
      <c r="D49" s="357">
        <f t="shared" si="2"/>
        <v>17492.21489</v>
      </c>
      <c r="E49" s="193"/>
    </row>
    <row r="50" spans="2:5" ht="15.75" customHeight="1">
      <c r="B50" s="468" t="s">
        <v>277</v>
      </c>
      <c r="C50" s="357">
        <v>4496.182559999999</v>
      </c>
      <c r="D50" s="357">
        <f t="shared" si="2"/>
        <v>16730.29531</v>
      </c>
      <c r="E50" s="193"/>
    </row>
    <row r="51" spans="2:5" ht="15.75" customHeight="1">
      <c r="B51" s="468" t="s">
        <v>251</v>
      </c>
      <c r="C51" s="357">
        <v>4441.45397</v>
      </c>
      <c r="D51" s="357">
        <f t="shared" si="2"/>
        <v>16526.65022</v>
      </c>
      <c r="E51" s="193"/>
    </row>
    <row r="52" spans="2:5" ht="15.75" customHeight="1">
      <c r="B52" s="468" t="s">
        <v>258</v>
      </c>
      <c r="C52" s="357">
        <v>4400.29615</v>
      </c>
      <c r="D52" s="357">
        <f t="shared" si="2"/>
        <v>16373.50197</v>
      </c>
      <c r="E52" s="193"/>
    </row>
    <row r="53" spans="2:5" ht="15.75" customHeight="1">
      <c r="B53" s="468" t="s">
        <v>304</v>
      </c>
      <c r="C53" s="357">
        <v>4037.89068</v>
      </c>
      <c r="D53" s="357">
        <f t="shared" si="2"/>
        <v>15024.99122</v>
      </c>
      <c r="E53" s="193"/>
    </row>
    <row r="54" spans="2:5" ht="15.75" customHeight="1">
      <c r="B54" s="468" t="s">
        <v>344</v>
      </c>
      <c r="C54" s="357">
        <v>3448.65263</v>
      </c>
      <c r="D54" s="357">
        <f t="shared" si="2"/>
        <v>12832.43644</v>
      </c>
      <c r="E54" s="193"/>
    </row>
    <row r="55" spans="2:5" ht="15.75" customHeight="1">
      <c r="B55" s="468" t="s">
        <v>294</v>
      </c>
      <c r="C55" s="357">
        <v>3432.29287</v>
      </c>
      <c r="D55" s="357">
        <f t="shared" si="2"/>
        <v>12771.56177</v>
      </c>
      <c r="E55" s="193"/>
    </row>
    <row r="56" spans="2:5" ht="15.75" customHeight="1">
      <c r="B56" s="468" t="s">
        <v>253</v>
      </c>
      <c r="C56" s="357">
        <v>3375.90242</v>
      </c>
      <c r="D56" s="357">
        <f t="shared" si="2"/>
        <v>12561.7329</v>
      </c>
      <c r="E56" s="193"/>
    </row>
    <row r="57" spans="2:5" ht="15.75" customHeight="1">
      <c r="B57" s="468" t="s">
        <v>177</v>
      </c>
      <c r="C57" s="357">
        <v>3321.31689</v>
      </c>
      <c r="D57" s="357">
        <f t="shared" si="2"/>
        <v>12358.62015</v>
      </c>
      <c r="E57" s="193"/>
    </row>
    <row r="58" spans="2:5" ht="15.75" customHeight="1">
      <c r="B58" s="468" t="s">
        <v>249</v>
      </c>
      <c r="C58" s="357">
        <v>3279.30942</v>
      </c>
      <c r="D58" s="357">
        <f t="shared" si="2"/>
        <v>12202.31035</v>
      </c>
      <c r="E58" s="193"/>
    </row>
    <row r="59" spans="2:5" ht="15.75" customHeight="1">
      <c r="B59" s="468" t="s">
        <v>199</v>
      </c>
      <c r="C59" s="357">
        <v>2763.62412</v>
      </c>
      <c r="D59" s="357">
        <f t="shared" si="2"/>
        <v>10283.44535</v>
      </c>
      <c r="E59" s="193"/>
    </row>
    <row r="60" spans="2:5" ht="15.75" customHeight="1">
      <c r="B60" s="468" t="s">
        <v>180</v>
      </c>
      <c r="C60" s="357">
        <v>2683.28062</v>
      </c>
      <c r="D60" s="357">
        <f t="shared" si="2"/>
        <v>9984.48719</v>
      </c>
      <c r="E60" s="193"/>
    </row>
    <row r="61" spans="2:5" ht="15.75" customHeight="1">
      <c r="B61" s="468" t="s">
        <v>178</v>
      </c>
      <c r="C61" s="357">
        <v>2585.6266800000003</v>
      </c>
      <c r="D61" s="357">
        <f t="shared" si="2"/>
        <v>9621.11688</v>
      </c>
      <c r="E61" s="193"/>
    </row>
    <row r="62" spans="2:5" ht="15.75" customHeight="1">
      <c r="B62" s="468" t="s">
        <v>415</v>
      </c>
      <c r="C62" s="357">
        <v>2572.22017</v>
      </c>
      <c r="D62" s="357">
        <f t="shared" si="2"/>
        <v>9571.23125</v>
      </c>
      <c r="E62" s="193"/>
    </row>
    <row r="63" spans="2:5" ht="15.75" customHeight="1">
      <c r="B63" s="468" t="s">
        <v>320</v>
      </c>
      <c r="C63" s="357">
        <v>2571.31459</v>
      </c>
      <c r="D63" s="357">
        <f t="shared" si="2"/>
        <v>9567.86159</v>
      </c>
      <c r="E63" s="193"/>
    </row>
    <row r="64" spans="2:5" ht="15.75" customHeight="1">
      <c r="B64" s="468" t="s">
        <v>183</v>
      </c>
      <c r="C64" s="357">
        <v>2559.62136</v>
      </c>
      <c r="D64" s="357">
        <f t="shared" si="2"/>
        <v>9524.35108</v>
      </c>
      <c r="E64" s="193"/>
    </row>
    <row r="65" spans="2:5" ht="15.75" customHeight="1">
      <c r="B65" s="468" t="s">
        <v>273</v>
      </c>
      <c r="C65" s="357">
        <v>2537.5643</v>
      </c>
      <c r="D65" s="357">
        <f t="shared" si="2"/>
        <v>9442.27676</v>
      </c>
      <c r="E65" s="193"/>
    </row>
    <row r="66" spans="2:5" ht="15.75" customHeight="1">
      <c r="B66" s="468" t="s">
        <v>361</v>
      </c>
      <c r="C66" s="357">
        <v>2340.10264</v>
      </c>
      <c r="D66" s="357">
        <f t="shared" si="2"/>
        <v>8707.52192</v>
      </c>
      <c r="E66" s="193"/>
    </row>
    <row r="67" spans="2:5" ht="15.75" customHeight="1">
      <c r="B67" s="468" t="s">
        <v>322</v>
      </c>
      <c r="C67" s="357">
        <v>2314.24823</v>
      </c>
      <c r="D67" s="357">
        <f t="shared" si="2"/>
        <v>8611.31766</v>
      </c>
      <c r="E67" s="193"/>
    </row>
    <row r="68" spans="2:5" ht="15.75" customHeight="1">
      <c r="B68" s="468" t="s">
        <v>305</v>
      </c>
      <c r="C68" s="357">
        <v>1923.2520200000001</v>
      </c>
      <c r="D68" s="357">
        <f t="shared" si="2"/>
        <v>7156.42077</v>
      </c>
      <c r="E68" s="193"/>
    </row>
    <row r="69" spans="2:5" ht="15.75" customHeight="1">
      <c r="B69" s="468" t="s">
        <v>291</v>
      </c>
      <c r="C69" s="357">
        <v>1919.3388300000001</v>
      </c>
      <c r="D69" s="357">
        <f aca="true" t="shared" si="3" ref="D69:D100">ROUND(+C69*$E$9,5)</f>
        <v>7141.85979</v>
      </c>
      <c r="E69" s="193"/>
    </row>
    <row r="70" spans="2:5" ht="15.75" customHeight="1">
      <c r="B70" s="468" t="s">
        <v>332</v>
      </c>
      <c r="C70" s="357">
        <v>1830.84676</v>
      </c>
      <c r="D70" s="357">
        <f t="shared" si="3"/>
        <v>6812.58079</v>
      </c>
      <c r="E70" s="193"/>
    </row>
    <row r="71" spans="2:5" ht="15.75" customHeight="1">
      <c r="B71" s="468" t="s">
        <v>176</v>
      </c>
      <c r="C71" s="357">
        <v>1779.83007</v>
      </c>
      <c r="D71" s="357">
        <f t="shared" si="3"/>
        <v>6622.74769</v>
      </c>
      <c r="E71" s="193"/>
    </row>
    <row r="72" spans="2:5" ht="15.75" customHeight="1">
      <c r="B72" s="468" t="s">
        <v>256</v>
      </c>
      <c r="C72" s="357">
        <v>1710.34984</v>
      </c>
      <c r="D72" s="357">
        <f t="shared" si="3"/>
        <v>6364.21175</v>
      </c>
      <c r="E72" s="193"/>
    </row>
    <row r="73" spans="2:5" ht="15.75" customHeight="1">
      <c r="B73" s="468" t="s">
        <v>321</v>
      </c>
      <c r="C73" s="357">
        <v>1696.8834299999999</v>
      </c>
      <c r="D73" s="357">
        <f t="shared" si="3"/>
        <v>6314.10324</v>
      </c>
      <c r="E73" s="193"/>
    </row>
    <row r="74" spans="2:5" ht="15.75" customHeight="1">
      <c r="B74" s="468" t="s">
        <v>175</v>
      </c>
      <c r="C74" s="357">
        <v>1622.56424</v>
      </c>
      <c r="D74" s="357">
        <f t="shared" si="3"/>
        <v>6037.56154</v>
      </c>
      <c r="E74" s="193"/>
    </row>
    <row r="75" spans="2:5" ht="15.75" customHeight="1">
      <c r="B75" s="468" t="s">
        <v>399</v>
      </c>
      <c r="C75" s="357">
        <v>1619.20999</v>
      </c>
      <c r="D75" s="357">
        <f t="shared" si="3"/>
        <v>6025.08037</v>
      </c>
      <c r="E75" s="193"/>
    </row>
    <row r="76" spans="2:5" ht="15.75" customHeight="1">
      <c r="B76" s="468" t="s">
        <v>179</v>
      </c>
      <c r="C76" s="357">
        <v>1615.73627</v>
      </c>
      <c r="D76" s="357">
        <f t="shared" si="3"/>
        <v>6012.15466</v>
      </c>
      <c r="E76" s="193"/>
    </row>
    <row r="77" spans="2:5" ht="15.75" customHeight="1">
      <c r="B77" s="468" t="s">
        <v>260</v>
      </c>
      <c r="C77" s="357">
        <v>1599.91022</v>
      </c>
      <c r="D77" s="357">
        <f t="shared" si="3"/>
        <v>5953.26593</v>
      </c>
      <c r="E77" s="193"/>
    </row>
    <row r="78" spans="2:5" ht="15.75" customHeight="1">
      <c r="B78" s="468" t="s">
        <v>284</v>
      </c>
      <c r="C78" s="357">
        <v>1570.0731799999999</v>
      </c>
      <c r="D78" s="357">
        <f t="shared" si="3"/>
        <v>5842.2423</v>
      </c>
      <c r="E78" s="193"/>
    </row>
    <row r="79" spans="2:5" ht="15.75" customHeight="1">
      <c r="B79" s="468" t="s">
        <v>288</v>
      </c>
      <c r="C79" s="357">
        <v>1508.15247</v>
      </c>
      <c r="D79" s="357">
        <f t="shared" si="3"/>
        <v>5611.83534</v>
      </c>
      <c r="E79" s="193"/>
    </row>
    <row r="80" spans="2:5" ht="15.75" customHeight="1">
      <c r="B80" s="468" t="s">
        <v>269</v>
      </c>
      <c r="C80" s="357">
        <v>1412.1210800000001</v>
      </c>
      <c r="D80" s="357">
        <f t="shared" si="3"/>
        <v>5254.50254</v>
      </c>
      <c r="E80" s="193"/>
    </row>
    <row r="81" spans="2:5" ht="15.75" customHeight="1">
      <c r="B81" s="468" t="s">
        <v>306</v>
      </c>
      <c r="C81" s="357">
        <v>1408.09337</v>
      </c>
      <c r="D81" s="357">
        <f t="shared" si="3"/>
        <v>5239.51543</v>
      </c>
      <c r="E81" s="193"/>
    </row>
    <row r="82" spans="2:5" ht="15.75" customHeight="1">
      <c r="B82" s="468" t="s">
        <v>401</v>
      </c>
      <c r="C82" s="357">
        <v>1399.54386</v>
      </c>
      <c r="D82" s="357">
        <f t="shared" si="3"/>
        <v>5207.7027</v>
      </c>
      <c r="E82" s="193"/>
    </row>
    <row r="83" spans="2:5" ht="15.75" customHeight="1">
      <c r="B83" s="468" t="s">
        <v>236</v>
      </c>
      <c r="C83" s="357">
        <v>1387.56556</v>
      </c>
      <c r="D83" s="357">
        <f t="shared" si="3"/>
        <v>5163.13145</v>
      </c>
      <c r="E83" s="193"/>
    </row>
    <row r="84" spans="2:5" ht="15.75" customHeight="1">
      <c r="B84" s="468" t="s">
        <v>281</v>
      </c>
      <c r="C84" s="357">
        <v>1384.34388</v>
      </c>
      <c r="D84" s="357">
        <f t="shared" si="3"/>
        <v>5151.14358</v>
      </c>
      <c r="E84" s="193"/>
    </row>
    <row r="85" spans="2:5" ht="15.75" customHeight="1">
      <c r="B85" s="468" t="s">
        <v>297</v>
      </c>
      <c r="C85" s="357">
        <v>1334.37696</v>
      </c>
      <c r="D85" s="357">
        <f t="shared" si="3"/>
        <v>4965.21667</v>
      </c>
      <c r="E85" s="193"/>
    </row>
    <row r="86" spans="2:5" ht="15.75" customHeight="1">
      <c r="B86" s="468" t="s">
        <v>292</v>
      </c>
      <c r="C86" s="357">
        <v>1247.18499</v>
      </c>
      <c r="D86" s="357">
        <f t="shared" si="3"/>
        <v>4640.77535</v>
      </c>
      <c r="E86" s="193"/>
    </row>
    <row r="87" spans="2:5" ht="15.75" customHeight="1">
      <c r="B87" s="468" t="s">
        <v>259</v>
      </c>
      <c r="C87" s="357">
        <v>1210.7646599999998</v>
      </c>
      <c r="D87" s="357">
        <f t="shared" si="3"/>
        <v>4505.2553</v>
      </c>
      <c r="E87" s="193"/>
    </row>
    <row r="88" spans="2:5" ht="15.75" customHeight="1">
      <c r="B88" s="468" t="s">
        <v>190</v>
      </c>
      <c r="C88" s="357">
        <v>1204.96442</v>
      </c>
      <c r="D88" s="357">
        <f t="shared" si="3"/>
        <v>4483.67261</v>
      </c>
      <c r="E88" s="193"/>
    </row>
    <row r="89" spans="2:5" ht="15.75" customHeight="1">
      <c r="B89" s="468" t="s">
        <v>257</v>
      </c>
      <c r="C89" s="357">
        <v>1200.64826</v>
      </c>
      <c r="D89" s="357">
        <f t="shared" si="3"/>
        <v>4467.61218</v>
      </c>
      <c r="E89" s="193"/>
    </row>
    <row r="90" spans="2:5" ht="15.75" customHeight="1">
      <c r="B90" s="468" t="s">
        <v>282</v>
      </c>
      <c r="C90" s="357">
        <v>1176.2617</v>
      </c>
      <c r="D90" s="357">
        <f t="shared" si="3"/>
        <v>4376.86979</v>
      </c>
      <c r="E90" s="193"/>
    </row>
    <row r="91" spans="2:5" ht="15.75" customHeight="1">
      <c r="B91" s="468" t="s">
        <v>296</v>
      </c>
      <c r="C91" s="357">
        <v>1163.4163899999999</v>
      </c>
      <c r="D91" s="357">
        <f t="shared" si="3"/>
        <v>4329.07239</v>
      </c>
      <c r="E91" s="193"/>
    </row>
    <row r="92" spans="2:5" ht="15.75" customHeight="1">
      <c r="B92" s="468" t="s">
        <v>184</v>
      </c>
      <c r="C92" s="357">
        <v>1105.06739</v>
      </c>
      <c r="D92" s="357">
        <f t="shared" si="3"/>
        <v>4111.95576</v>
      </c>
      <c r="E92" s="193"/>
    </row>
    <row r="93" spans="2:5" ht="15.75" customHeight="1">
      <c r="B93" s="468" t="s">
        <v>360</v>
      </c>
      <c r="C93" s="357">
        <v>1056.37628</v>
      </c>
      <c r="D93" s="357">
        <f t="shared" si="3"/>
        <v>3930.77614</v>
      </c>
      <c r="E93" s="193"/>
    </row>
    <row r="94" spans="2:5" ht="15.75" customHeight="1">
      <c r="B94" s="468" t="s">
        <v>352</v>
      </c>
      <c r="C94" s="357">
        <v>1032.14216</v>
      </c>
      <c r="D94" s="357">
        <f t="shared" si="3"/>
        <v>3840.60098</v>
      </c>
      <c r="E94" s="193"/>
    </row>
    <row r="95" spans="2:5" ht="15.75" customHeight="1">
      <c r="B95" s="468" t="s">
        <v>307</v>
      </c>
      <c r="C95" s="357">
        <v>1029.5144</v>
      </c>
      <c r="D95" s="357">
        <f t="shared" si="3"/>
        <v>3830.82308</v>
      </c>
      <c r="E95" s="193"/>
    </row>
    <row r="96" spans="2:5" ht="15.75" customHeight="1">
      <c r="B96" s="468" t="s">
        <v>272</v>
      </c>
      <c r="C96" s="357">
        <v>1014.44823</v>
      </c>
      <c r="D96" s="357">
        <f t="shared" si="3"/>
        <v>3774.76186</v>
      </c>
      <c r="E96" s="193"/>
    </row>
    <row r="97" spans="2:5" ht="15.75" customHeight="1">
      <c r="B97" s="468" t="s">
        <v>353</v>
      </c>
      <c r="C97" s="357">
        <v>923.1199499999999</v>
      </c>
      <c r="D97" s="357">
        <f t="shared" si="3"/>
        <v>3434.92933</v>
      </c>
      <c r="E97" s="193"/>
    </row>
    <row r="98" spans="2:5" ht="15.75" customHeight="1">
      <c r="B98" s="468" t="s">
        <v>278</v>
      </c>
      <c r="C98" s="357">
        <v>908.05197</v>
      </c>
      <c r="D98" s="357">
        <f t="shared" si="3"/>
        <v>3378.86138</v>
      </c>
      <c r="E98" s="193"/>
    </row>
    <row r="99" spans="2:5" ht="15.75" customHeight="1">
      <c r="B99" s="468" t="s">
        <v>400</v>
      </c>
      <c r="C99" s="357">
        <v>863.73152</v>
      </c>
      <c r="D99" s="357">
        <f t="shared" si="3"/>
        <v>3213.94499</v>
      </c>
      <c r="E99" s="193"/>
    </row>
    <row r="100" spans="2:5" ht="15.75" customHeight="1">
      <c r="B100" s="468" t="s">
        <v>345</v>
      </c>
      <c r="C100" s="357">
        <v>832.9717099999999</v>
      </c>
      <c r="D100" s="357">
        <f t="shared" si="3"/>
        <v>3099.48773</v>
      </c>
      <c r="E100" s="193"/>
    </row>
    <row r="101" spans="2:5" ht="15.75" customHeight="1">
      <c r="B101" s="468" t="s">
        <v>298</v>
      </c>
      <c r="C101" s="357">
        <v>802.11365</v>
      </c>
      <c r="D101" s="357">
        <f aca="true" t="shared" si="4" ref="D101:D132">ROUND(+C101*$E$9,5)</f>
        <v>2984.66489</v>
      </c>
      <c r="E101" s="193"/>
    </row>
    <row r="102" spans="2:5" ht="15.75" customHeight="1">
      <c r="B102" s="468" t="s">
        <v>288</v>
      </c>
      <c r="C102" s="357">
        <v>783.1585</v>
      </c>
      <c r="D102" s="357">
        <f t="shared" si="4"/>
        <v>2914.13278</v>
      </c>
      <c r="E102" s="193"/>
    </row>
    <row r="103" spans="2:5" ht="15.75" customHeight="1">
      <c r="B103" s="468" t="s">
        <v>268</v>
      </c>
      <c r="C103" s="357">
        <v>767.93871</v>
      </c>
      <c r="D103" s="357">
        <f t="shared" si="4"/>
        <v>2857.49994</v>
      </c>
      <c r="E103" s="193"/>
    </row>
    <row r="104" spans="2:5" ht="15.75" customHeight="1">
      <c r="B104" s="468" t="s">
        <v>293</v>
      </c>
      <c r="C104" s="357">
        <v>735.47812</v>
      </c>
      <c r="D104" s="357">
        <f t="shared" si="4"/>
        <v>2736.71408</v>
      </c>
      <c r="E104" s="193"/>
    </row>
    <row r="105" spans="2:5" ht="15.75" customHeight="1">
      <c r="B105" s="468" t="s">
        <v>275</v>
      </c>
      <c r="C105" s="357">
        <v>727.1807</v>
      </c>
      <c r="D105" s="357">
        <f t="shared" si="4"/>
        <v>2705.83938</v>
      </c>
      <c r="E105" s="193"/>
    </row>
    <row r="106" spans="2:5" ht="15.75" customHeight="1">
      <c r="B106" s="468" t="s">
        <v>308</v>
      </c>
      <c r="C106" s="357">
        <v>654.15761</v>
      </c>
      <c r="D106" s="357">
        <f t="shared" si="4"/>
        <v>2434.12047</v>
      </c>
      <c r="E106" s="193"/>
    </row>
    <row r="107" spans="2:5" ht="15.75" customHeight="1">
      <c r="B107" s="468" t="s">
        <v>262</v>
      </c>
      <c r="C107" s="357">
        <v>643.8111899999999</v>
      </c>
      <c r="D107" s="357">
        <f t="shared" si="4"/>
        <v>2395.62144</v>
      </c>
      <c r="E107" s="193"/>
    </row>
    <row r="108" spans="2:5" ht="15.75" customHeight="1">
      <c r="B108" s="468" t="s">
        <v>309</v>
      </c>
      <c r="C108" s="357">
        <v>642.86091</v>
      </c>
      <c r="D108" s="357">
        <f t="shared" si="4"/>
        <v>2392.08545</v>
      </c>
      <c r="E108" s="193"/>
    </row>
    <row r="109" spans="2:5" ht="15.75" customHeight="1">
      <c r="B109" s="468" t="s">
        <v>194</v>
      </c>
      <c r="C109" s="357">
        <v>622.75304</v>
      </c>
      <c r="D109" s="357">
        <f t="shared" si="4"/>
        <v>2317.26406</v>
      </c>
      <c r="E109" s="193"/>
    </row>
    <row r="110" spans="2:5" ht="15.75" customHeight="1">
      <c r="B110" s="468" t="s">
        <v>362</v>
      </c>
      <c r="C110" s="357">
        <v>615.4820699999999</v>
      </c>
      <c r="D110" s="357">
        <f t="shared" si="4"/>
        <v>2290.20878</v>
      </c>
      <c r="E110" s="193"/>
    </row>
    <row r="111" spans="2:5" ht="15.75" customHeight="1">
      <c r="B111" s="468" t="s">
        <v>182</v>
      </c>
      <c r="C111" s="357">
        <v>605.51275</v>
      </c>
      <c r="D111" s="357">
        <f t="shared" si="4"/>
        <v>2253.11294</v>
      </c>
      <c r="E111" s="193"/>
    </row>
    <row r="112" spans="2:5" ht="15.75" customHeight="1">
      <c r="B112" s="468" t="s">
        <v>267</v>
      </c>
      <c r="C112" s="357">
        <v>595.76747</v>
      </c>
      <c r="D112" s="357">
        <f t="shared" si="4"/>
        <v>2216.85076</v>
      </c>
      <c r="E112" s="193"/>
    </row>
    <row r="113" spans="2:5" ht="15.75" customHeight="1">
      <c r="B113" s="468" t="s">
        <v>253</v>
      </c>
      <c r="C113" s="357">
        <v>582.17607</v>
      </c>
      <c r="D113" s="357">
        <f t="shared" si="4"/>
        <v>2166.27716</v>
      </c>
      <c r="E113" s="193"/>
    </row>
    <row r="114" spans="2:5" ht="15.75" customHeight="1">
      <c r="B114" s="468" t="s">
        <v>279</v>
      </c>
      <c r="C114" s="357">
        <v>578.9869</v>
      </c>
      <c r="D114" s="357">
        <f t="shared" si="4"/>
        <v>2154.41025</v>
      </c>
      <c r="E114" s="193"/>
    </row>
    <row r="115" spans="2:5" ht="15.75" customHeight="1">
      <c r="B115" s="468" t="s">
        <v>416</v>
      </c>
      <c r="C115" s="357">
        <v>578.3219499999999</v>
      </c>
      <c r="D115" s="357">
        <f t="shared" si="4"/>
        <v>2151.93598</v>
      </c>
      <c r="E115" s="193"/>
    </row>
    <row r="116" spans="2:5" ht="15.75" customHeight="1">
      <c r="B116" s="468" t="s">
        <v>347</v>
      </c>
      <c r="C116" s="357">
        <v>571.44327</v>
      </c>
      <c r="D116" s="357">
        <f t="shared" si="4"/>
        <v>2126.34041</v>
      </c>
      <c r="E116" s="193"/>
    </row>
    <row r="117" spans="2:5" ht="15.75" customHeight="1">
      <c r="B117" s="468" t="s">
        <v>263</v>
      </c>
      <c r="C117" s="357">
        <v>548.2184</v>
      </c>
      <c r="D117" s="357">
        <f t="shared" si="4"/>
        <v>2039.92067</v>
      </c>
      <c r="E117" s="193"/>
    </row>
    <row r="118" spans="2:5" ht="15.75" customHeight="1">
      <c r="B118" s="468" t="s">
        <v>310</v>
      </c>
      <c r="C118" s="357">
        <v>547.1154300000001</v>
      </c>
      <c r="D118" s="357">
        <f t="shared" si="4"/>
        <v>2035.81652</v>
      </c>
      <c r="E118" s="193"/>
    </row>
    <row r="119" spans="2:5" ht="15.75" customHeight="1">
      <c r="B119" s="468" t="s">
        <v>166</v>
      </c>
      <c r="C119" s="357">
        <v>528.68697</v>
      </c>
      <c r="D119" s="357">
        <f t="shared" si="4"/>
        <v>1967.24422</v>
      </c>
      <c r="E119" s="193"/>
    </row>
    <row r="120" spans="2:5" ht="15.75" customHeight="1">
      <c r="B120" s="468" t="s">
        <v>333</v>
      </c>
      <c r="C120" s="357">
        <v>517.98938</v>
      </c>
      <c r="D120" s="357">
        <f t="shared" si="4"/>
        <v>1927.43848</v>
      </c>
      <c r="E120" s="193"/>
    </row>
    <row r="121" spans="2:5" ht="15.75" customHeight="1">
      <c r="B121" s="468" t="s">
        <v>410</v>
      </c>
      <c r="C121" s="357">
        <v>483.76175</v>
      </c>
      <c r="D121" s="357">
        <f t="shared" si="4"/>
        <v>1800.07747</v>
      </c>
      <c r="E121" s="193"/>
    </row>
    <row r="122" spans="2:5" ht="15.75" customHeight="1">
      <c r="B122" s="468" t="s">
        <v>271</v>
      </c>
      <c r="C122" s="357">
        <v>454.00890000000004</v>
      </c>
      <c r="D122" s="357">
        <f t="shared" si="4"/>
        <v>1689.36712</v>
      </c>
      <c r="E122" s="193"/>
    </row>
    <row r="123" spans="2:5" ht="15.75" customHeight="1">
      <c r="B123" s="468" t="s">
        <v>203</v>
      </c>
      <c r="C123" s="357">
        <v>425.05765</v>
      </c>
      <c r="D123" s="357">
        <f t="shared" si="4"/>
        <v>1581.63952</v>
      </c>
      <c r="E123" s="193"/>
    </row>
    <row r="124" spans="2:5" ht="15.75" customHeight="1">
      <c r="B124" s="468" t="s">
        <v>202</v>
      </c>
      <c r="C124" s="357">
        <v>413.9015</v>
      </c>
      <c r="D124" s="357">
        <f t="shared" si="4"/>
        <v>1540.12748</v>
      </c>
      <c r="E124" s="193"/>
    </row>
    <row r="125" spans="2:5" ht="15.75" customHeight="1">
      <c r="B125" s="468" t="s">
        <v>363</v>
      </c>
      <c r="C125" s="357">
        <v>393.36078000000003</v>
      </c>
      <c r="D125" s="357">
        <f t="shared" si="4"/>
        <v>1463.69546</v>
      </c>
      <c r="E125" s="193"/>
    </row>
    <row r="126" spans="2:5" ht="15.75" customHeight="1">
      <c r="B126" s="468" t="s">
        <v>334</v>
      </c>
      <c r="C126" s="357">
        <v>385.43811999999997</v>
      </c>
      <c r="D126" s="357">
        <f t="shared" si="4"/>
        <v>1434.21524</v>
      </c>
      <c r="E126" s="193"/>
    </row>
    <row r="127" spans="2:5" ht="15.75" customHeight="1">
      <c r="B127" s="468" t="s">
        <v>299</v>
      </c>
      <c r="C127" s="357">
        <v>384.16222</v>
      </c>
      <c r="D127" s="357">
        <f t="shared" si="4"/>
        <v>1429.46762</v>
      </c>
      <c r="E127" s="193"/>
    </row>
    <row r="128" spans="2:5" ht="15.75" customHeight="1">
      <c r="B128" s="468" t="s">
        <v>270</v>
      </c>
      <c r="C128" s="357">
        <v>381.3817</v>
      </c>
      <c r="D128" s="357">
        <f t="shared" si="4"/>
        <v>1419.12131</v>
      </c>
      <c r="E128" s="193"/>
    </row>
    <row r="129" spans="2:5" ht="15.75" customHeight="1">
      <c r="B129" s="468" t="s">
        <v>335</v>
      </c>
      <c r="C129" s="357">
        <v>366.73151</v>
      </c>
      <c r="D129" s="357">
        <f t="shared" si="4"/>
        <v>1364.60795</v>
      </c>
      <c r="E129" s="193"/>
    </row>
    <row r="130" spans="2:5" ht="15.75" customHeight="1">
      <c r="B130" s="468" t="s">
        <v>204</v>
      </c>
      <c r="C130" s="357">
        <v>354.47768</v>
      </c>
      <c r="D130" s="357">
        <f t="shared" si="4"/>
        <v>1319.01145</v>
      </c>
      <c r="E130" s="193"/>
    </row>
    <row r="131" spans="2:5" ht="15.75" customHeight="1">
      <c r="B131" s="468" t="s">
        <v>186</v>
      </c>
      <c r="C131" s="357">
        <v>353.58934000000005</v>
      </c>
      <c r="D131" s="357">
        <f t="shared" si="4"/>
        <v>1315.70593</v>
      </c>
      <c r="E131" s="193"/>
    </row>
    <row r="132" spans="2:5" ht="15.75" customHeight="1">
      <c r="B132" s="468" t="s">
        <v>187</v>
      </c>
      <c r="C132" s="357">
        <v>339.06515</v>
      </c>
      <c r="D132" s="357">
        <f t="shared" si="4"/>
        <v>1261.66142</v>
      </c>
      <c r="E132" s="193"/>
    </row>
    <row r="133" spans="2:5" ht="15.75" customHeight="1">
      <c r="B133" s="468" t="s">
        <v>214</v>
      </c>
      <c r="C133" s="357">
        <v>326.66832</v>
      </c>
      <c r="D133" s="357">
        <f aca="true" t="shared" si="5" ref="D133:D164">ROUND(+C133*$E$9,5)</f>
        <v>1215.53282</v>
      </c>
      <c r="E133" s="193"/>
    </row>
    <row r="134" spans="2:5" ht="15.75" customHeight="1">
      <c r="B134" s="468" t="s">
        <v>324</v>
      </c>
      <c r="C134" s="357">
        <v>316.39978</v>
      </c>
      <c r="D134" s="357">
        <f t="shared" si="5"/>
        <v>1177.32358</v>
      </c>
      <c r="E134" s="193"/>
    </row>
    <row r="135" spans="2:5" ht="15.75" customHeight="1">
      <c r="B135" s="468" t="s">
        <v>311</v>
      </c>
      <c r="C135" s="357">
        <v>315.54199</v>
      </c>
      <c r="D135" s="357">
        <f t="shared" si="5"/>
        <v>1174.13174</v>
      </c>
      <c r="E135" s="193"/>
    </row>
    <row r="136" spans="2:5" ht="15.75" customHeight="1">
      <c r="B136" s="468" t="s">
        <v>196</v>
      </c>
      <c r="C136" s="357">
        <v>313.50459</v>
      </c>
      <c r="D136" s="357">
        <f t="shared" si="5"/>
        <v>1166.55058</v>
      </c>
      <c r="E136" s="193"/>
    </row>
    <row r="137" spans="2:5" ht="15.75" customHeight="1">
      <c r="B137" s="468" t="s">
        <v>301</v>
      </c>
      <c r="C137" s="357">
        <v>307.81782</v>
      </c>
      <c r="D137" s="357">
        <f t="shared" si="5"/>
        <v>1145.39011</v>
      </c>
      <c r="E137" s="193"/>
    </row>
    <row r="138" spans="2:5" ht="15.75" customHeight="1">
      <c r="B138" s="468" t="s">
        <v>336</v>
      </c>
      <c r="C138" s="357">
        <v>305.77468</v>
      </c>
      <c r="D138" s="357">
        <f t="shared" si="5"/>
        <v>1137.78758</v>
      </c>
      <c r="E138" s="193"/>
    </row>
    <row r="139" spans="2:5" ht="15.75" customHeight="1">
      <c r="B139" s="468" t="s">
        <v>197</v>
      </c>
      <c r="C139" s="357">
        <v>293.93116</v>
      </c>
      <c r="D139" s="357">
        <f t="shared" si="5"/>
        <v>1093.71785</v>
      </c>
      <c r="E139" s="193"/>
    </row>
    <row r="140" spans="2:5" ht="15.75" customHeight="1">
      <c r="B140" s="468" t="s">
        <v>264</v>
      </c>
      <c r="C140" s="357">
        <v>278.94256</v>
      </c>
      <c r="D140" s="357">
        <f t="shared" si="5"/>
        <v>1037.94527</v>
      </c>
      <c r="E140" s="193"/>
    </row>
    <row r="141" spans="2:5" ht="15.75" customHeight="1">
      <c r="B141" s="468" t="s">
        <v>337</v>
      </c>
      <c r="C141" s="357">
        <v>264.75976</v>
      </c>
      <c r="D141" s="357">
        <f t="shared" si="5"/>
        <v>985.17107</v>
      </c>
      <c r="E141" s="193"/>
    </row>
    <row r="142" spans="2:5" ht="15.75" customHeight="1">
      <c r="B142" s="468" t="s">
        <v>235</v>
      </c>
      <c r="C142" s="357">
        <v>256.64212</v>
      </c>
      <c r="D142" s="357">
        <f t="shared" si="5"/>
        <v>954.96533</v>
      </c>
      <c r="E142" s="193"/>
    </row>
    <row r="143" spans="2:5" ht="15.75" customHeight="1">
      <c r="B143" s="468" t="s">
        <v>252</v>
      </c>
      <c r="C143" s="357">
        <v>250.2637</v>
      </c>
      <c r="D143" s="357">
        <f t="shared" si="5"/>
        <v>931.23123</v>
      </c>
      <c r="E143" s="193"/>
    </row>
    <row r="144" spans="2:5" ht="15.75" customHeight="1">
      <c r="B144" s="468" t="s">
        <v>185</v>
      </c>
      <c r="C144" s="357">
        <v>249.05970000000002</v>
      </c>
      <c r="D144" s="357">
        <f t="shared" si="5"/>
        <v>926.75114</v>
      </c>
      <c r="E144" s="193"/>
    </row>
    <row r="145" spans="2:5" ht="15.75" customHeight="1">
      <c r="B145" s="468" t="s">
        <v>417</v>
      </c>
      <c r="C145" s="357">
        <v>229.96207</v>
      </c>
      <c r="D145" s="357">
        <f t="shared" si="5"/>
        <v>855.68886</v>
      </c>
      <c r="E145" s="193"/>
    </row>
    <row r="146" spans="2:5" ht="15.75" customHeight="1">
      <c r="B146" s="468" t="s">
        <v>325</v>
      </c>
      <c r="C146" s="357">
        <v>223.20633999999998</v>
      </c>
      <c r="D146" s="357">
        <f t="shared" si="5"/>
        <v>830.55079</v>
      </c>
      <c r="E146" s="193"/>
    </row>
    <row r="147" spans="2:5" ht="15.75" customHeight="1">
      <c r="B147" s="468" t="s">
        <v>326</v>
      </c>
      <c r="C147" s="357">
        <v>200.7982</v>
      </c>
      <c r="D147" s="357">
        <f t="shared" si="5"/>
        <v>747.1701</v>
      </c>
      <c r="E147" s="193"/>
    </row>
    <row r="148" spans="2:5" ht="15.75" customHeight="1">
      <c r="B148" s="468" t="s">
        <v>201</v>
      </c>
      <c r="C148" s="357">
        <v>185.00825</v>
      </c>
      <c r="D148" s="357">
        <f t="shared" si="5"/>
        <v>688.4157</v>
      </c>
      <c r="E148" s="193"/>
    </row>
    <row r="149" spans="2:5" ht="15.75" customHeight="1">
      <c r="B149" s="468" t="s">
        <v>274</v>
      </c>
      <c r="C149" s="357">
        <v>180.09045</v>
      </c>
      <c r="D149" s="357">
        <f t="shared" si="5"/>
        <v>670.11656</v>
      </c>
      <c r="E149" s="193"/>
    </row>
    <row r="150" spans="2:5" ht="15.75" customHeight="1">
      <c r="B150" s="468" t="s">
        <v>323</v>
      </c>
      <c r="C150" s="357">
        <v>178.9238</v>
      </c>
      <c r="D150" s="357">
        <f t="shared" si="5"/>
        <v>665.77546</v>
      </c>
      <c r="E150" s="193"/>
    </row>
    <row r="151" spans="2:5" ht="15.75" customHeight="1">
      <c r="B151" s="468" t="s">
        <v>181</v>
      </c>
      <c r="C151" s="357">
        <v>174.20986</v>
      </c>
      <c r="D151" s="357">
        <f t="shared" si="5"/>
        <v>648.23489</v>
      </c>
      <c r="E151" s="193"/>
    </row>
    <row r="152" spans="2:5" ht="15.75" customHeight="1">
      <c r="B152" s="468" t="s">
        <v>189</v>
      </c>
      <c r="C152" s="357">
        <v>172.57410000000002</v>
      </c>
      <c r="D152" s="357">
        <f t="shared" si="5"/>
        <v>642.14823</v>
      </c>
      <c r="E152" s="193"/>
    </row>
    <row r="153" spans="2:5" ht="15.75" customHeight="1">
      <c r="B153" s="468" t="s">
        <v>191</v>
      </c>
      <c r="C153" s="357">
        <v>170.74937</v>
      </c>
      <c r="D153" s="357">
        <f t="shared" si="5"/>
        <v>635.35841</v>
      </c>
      <c r="E153" s="193"/>
    </row>
    <row r="154" spans="2:5" ht="15.75" customHeight="1">
      <c r="B154" s="468" t="s">
        <v>312</v>
      </c>
      <c r="C154" s="357">
        <v>163.94871</v>
      </c>
      <c r="D154" s="357">
        <f t="shared" si="5"/>
        <v>610.05315</v>
      </c>
      <c r="E154" s="193"/>
    </row>
    <row r="155" spans="2:5" ht="15.75" customHeight="1">
      <c r="B155" s="468" t="s">
        <v>338</v>
      </c>
      <c r="C155" s="357">
        <v>157.82939000000002</v>
      </c>
      <c r="D155" s="357">
        <f t="shared" si="5"/>
        <v>587.28316</v>
      </c>
      <c r="E155" s="193"/>
    </row>
    <row r="156" spans="2:5" ht="15.75" customHeight="1">
      <c r="B156" s="468" t="s">
        <v>283</v>
      </c>
      <c r="C156" s="357">
        <v>141.12308</v>
      </c>
      <c r="D156" s="357">
        <f t="shared" si="5"/>
        <v>525.11898</v>
      </c>
      <c r="E156" s="193"/>
    </row>
    <row r="157" spans="2:5" ht="15.75" customHeight="1">
      <c r="B157" s="468" t="s">
        <v>195</v>
      </c>
      <c r="C157" s="357">
        <v>140.98627</v>
      </c>
      <c r="D157" s="357">
        <f t="shared" si="5"/>
        <v>524.60991</v>
      </c>
      <c r="E157" s="193"/>
    </row>
    <row r="158" spans="2:5" ht="15.75" customHeight="1">
      <c r="B158" s="468" t="s">
        <v>192</v>
      </c>
      <c r="C158" s="357">
        <v>131.38608</v>
      </c>
      <c r="D158" s="357">
        <f t="shared" si="5"/>
        <v>488.8876</v>
      </c>
      <c r="E158" s="193"/>
    </row>
    <row r="159" spans="2:5" ht="15.75" customHeight="1">
      <c r="B159" s="468" t="s">
        <v>331</v>
      </c>
      <c r="C159" s="357">
        <v>114.66163</v>
      </c>
      <c r="D159" s="357">
        <f t="shared" si="5"/>
        <v>426.65593</v>
      </c>
      <c r="E159" s="193"/>
    </row>
    <row r="160" spans="2:5" ht="15.75" customHeight="1">
      <c r="B160" s="468" t="s">
        <v>188</v>
      </c>
      <c r="C160" s="357">
        <v>114.08851</v>
      </c>
      <c r="D160" s="357">
        <f t="shared" si="5"/>
        <v>424.52335</v>
      </c>
      <c r="E160" s="193"/>
    </row>
    <row r="161" spans="2:7" s="180" customFormat="1" ht="15.75" customHeight="1">
      <c r="B161" s="468" t="s">
        <v>94</v>
      </c>
      <c r="C161" s="357">
        <v>423.28499</v>
      </c>
      <c r="D161" s="357">
        <f t="shared" si="5"/>
        <v>1575.04345</v>
      </c>
      <c r="E161" s="193"/>
      <c r="F161" s="75"/>
      <c r="G161" s="75"/>
    </row>
    <row r="162" spans="1:7" s="222" customFormat="1" ht="12" customHeight="1">
      <c r="A162" s="78"/>
      <c r="B162" s="468"/>
      <c r="C162" s="357"/>
      <c r="D162" s="357"/>
      <c r="E162" s="193"/>
      <c r="F162" s="75"/>
      <c r="G162" s="75"/>
    </row>
    <row r="163" spans="1:7" s="222" customFormat="1" ht="15.75" customHeight="1">
      <c r="A163" s="78"/>
      <c r="B163" s="102" t="s">
        <v>230</v>
      </c>
      <c r="C163" s="95">
        <f>SUM(C165:C166)</f>
        <v>15850.9566</v>
      </c>
      <c r="D163" s="95">
        <f>SUM(D165:D166)</f>
        <v>58981.409510000005</v>
      </c>
      <c r="E163" s="193"/>
      <c r="F163" s="75"/>
      <c r="G163" s="75"/>
    </row>
    <row r="164" spans="1:7" s="222" customFormat="1" ht="7.5" customHeight="1">
      <c r="A164" s="78"/>
      <c r="B164" s="103"/>
      <c r="C164" s="95"/>
      <c r="D164" s="104"/>
      <c r="E164" s="193"/>
      <c r="F164" s="75"/>
      <c r="G164" s="75"/>
    </row>
    <row r="165" spans="1:7" s="222" customFormat="1" ht="15.75" customHeight="1">
      <c r="A165" s="78"/>
      <c r="B165" s="395" t="s">
        <v>229</v>
      </c>
      <c r="C165" s="357">
        <v>15850.95654</v>
      </c>
      <c r="D165" s="359">
        <f>ROUND(+C165*$E$9,5)</f>
        <v>58981.40929</v>
      </c>
      <c r="E165" s="193"/>
      <c r="F165" s="75"/>
      <c r="G165" s="75"/>
    </row>
    <row r="166" spans="1:7" s="222" customFormat="1" ht="15.75" customHeight="1">
      <c r="A166" s="78"/>
      <c r="B166" s="395" t="s">
        <v>265</v>
      </c>
      <c r="C166" s="357">
        <v>5.9999999999999995E-05</v>
      </c>
      <c r="D166" s="359">
        <f>ROUND(+C166*$E$9,5)</f>
        <v>0.00022</v>
      </c>
      <c r="E166" s="193"/>
      <c r="F166" s="75"/>
      <c r="G166" s="75"/>
    </row>
    <row r="167" spans="1:7" s="222" customFormat="1" ht="16.5" customHeight="1">
      <c r="A167" s="78"/>
      <c r="B167" s="81"/>
      <c r="C167" s="358"/>
      <c r="D167" s="360"/>
      <c r="E167" s="193"/>
      <c r="F167" s="75"/>
      <c r="G167" s="75"/>
    </row>
    <row r="168" spans="1:7" s="222" customFormat="1" ht="16.5" customHeight="1">
      <c r="A168" s="78"/>
      <c r="B168" s="568" t="s">
        <v>14</v>
      </c>
      <c r="C168" s="586">
        <f>+C35+C15+C163</f>
        <v>972479.87</v>
      </c>
      <c r="D168" s="586">
        <f>+D35+D15+D163</f>
        <v>3618597.5963</v>
      </c>
      <c r="E168" s="193"/>
      <c r="F168" s="75"/>
      <c r="G168" s="75"/>
    </row>
    <row r="169" spans="1:7" s="219" customFormat="1" ht="16.5" customHeight="1">
      <c r="A169" s="75"/>
      <c r="B169" s="569"/>
      <c r="C169" s="587"/>
      <c r="D169" s="587"/>
      <c r="E169" s="193"/>
      <c r="F169" s="75"/>
      <c r="G169" s="75"/>
    </row>
    <row r="170" spans="1:7" s="219" customFormat="1" ht="7.5" customHeight="1">
      <c r="A170" s="75"/>
      <c r="B170" s="82"/>
      <c r="C170" s="83"/>
      <c r="D170" s="83"/>
      <c r="E170" s="193"/>
      <c r="F170" s="75"/>
      <c r="G170" s="75"/>
    </row>
    <row r="171" spans="1:7" s="219" customFormat="1" ht="15" customHeight="1">
      <c r="A171" s="75"/>
      <c r="B171" s="79" t="s">
        <v>154</v>
      </c>
      <c r="C171" s="492"/>
      <c r="D171" s="192"/>
      <c r="E171" s="193"/>
      <c r="F171" s="75"/>
      <c r="G171" s="75"/>
    </row>
    <row r="172" spans="1:7" s="220" customFormat="1" ht="15">
      <c r="A172" s="76"/>
      <c r="B172" s="79" t="s">
        <v>155</v>
      </c>
      <c r="C172" s="190"/>
      <c r="D172" s="191"/>
      <c r="E172" s="193"/>
      <c r="F172" s="75"/>
      <c r="G172" s="75"/>
    </row>
    <row r="173" spans="1:7" s="219" customFormat="1" ht="15">
      <c r="A173" s="75"/>
      <c r="B173" s="84" t="s">
        <v>156</v>
      </c>
      <c r="C173" s="178"/>
      <c r="D173" s="114"/>
      <c r="E173" s="193"/>
      <c r="F173" s="75"/>
      <c r="G173" s="75"/>
    </row>
    <row r="174" spans="1:7" s="221" customFormat="1" ht="15.75">
      <c r="A174" s="74"/>
      <c r="B174" s="84" t="s">
        <v>157</v>
      </c>
      <c r="C174" s="84"/>
      <c r="D174" s="84"/>
      <c r="E174" s="193"/>
      <c r="F174" s="75"/>
      <c r="G174" s="75"/>
    </row>
    <row r="175" spans="1:7" s="221" customFormat="1" ht="15" customHeight="1">
      <c r="A175" s="74"/>
      <c r="B175" s="572" t="s">
        <v>418</v>
      </c>
      <c r="C175" s="572"/>
      <c r="D175" s="572"/>
      <c r="E175" s="193"/>
      <c r="F175" s="75"/>
      <c r="G175" s="75"/>
    </row>
    <row r="176" spans="1:7" s="221" customFormat="1" ht="15" customHeight="1">
      <c r="A176" s="74"/>
      <c r="B176" s="582" t="s">
        <v>231</v>
      </c>
      <c r="C176" s="582"/>
      <c r="D176" s="582"/>
      <c r="E176" s="193"/>
      <c r="F176" s="75"/>
      <c r="G176" s="75"/>
    </row>
    <row r="177" spans="1:7" s="221" customFormat="1" ht="15" customHeight="1">
      <c r="A177" s="74"/>
      <c r="B177" s="411"/>
      <c r="C177" s="412"/>
      <c r="D177" s="412"/>
      <c r="E177" s="193"/>
      <c r="F177" s="75"/>
      <c r="G177" s="75"/>
    </row>
    <row r="178" spans="1:7" s="221" customFormat="1" ht="15.75">
      <c r="A178" s="74"/>
      <c r="B178" s="411"/>
      <c r="C178" s="413"/>
      <c r="D178" s="413"/>
      <c r="E178" s="193"/>
      <c r="F178" s="75"/>
      <c r="G178" s="75"/>
    </row>
    <row r="179" spans="1:7" s="219" customFormat="1" ht="15" customHeight="1">
      <c r="A179" s="75"/>
      <c r="B179" s="414"/>
      <c r="C179" s="415"/>
      <c r="D179" s="415"/>
      <c r="E179" s="193"/>
      <c r="F179" s="75"/>
      <c r="G179" s="75"/>
    </row>
    <row r="180" spans="1:7" s="219" customFormat="1" ht="15" customHeight="1">
      <c r="A180" s="75"/>
      <c r="B180" s="86" t="s">
        <v>106</v>
      </c>
      <c r="C180" s="93"/>
      <c r="D180" s="93"/>
      <c r="E180" s="193"/>
      <c r="F180" s="75"/>
      <c r="G180" s="75"/>
    </row>
    <row r="181" spans="1:7" s="219" customFormat="1" ht="18">
      <c r="A181" s="75"/>
      <c r="B181" s="138" t="s">
        <v>242</v>
      </c>
      <c r="C181" s="94"/>
      <c r="D181" s="94"/>
      <c r="E181" s="193"/>
      <c r="F181" s="75"/>
      <c r="G181" s="75"/>
    </row>
    <row r="182" spans="1:7" s="219" customFormat="1" ht="15" customHeight="1">
      <c r="A182" s="75"/>
      <c r="B182" s="356" t="s">
        <v>66</v>
      </c>
      <c r="C182" s="94"/>
      <c r="D182" s="94"/>
      <c r="E182" s="193"/>
      <c r="F182" s="75"/>
      <c r="G182" s="75"/>
    </row>
    <row r="183" spans="1:7" s="219" customFormat="1" ht="15.75" customHeight="1">
      <c r="A183" s="75"/>
      <c r="B183" s="356" t="s">
        <v>99</v>
      </c>
      <c r="C183" s="94"/>
      <c r="D183" s="94"/>
      <c r="E183" s="193"/>
      <c r="F183" s="75"/>
      <c r="G183" s="75"/>
    </row>
    <row r="184" spans="1:7" s="219" customFormat="1" ht="15.75" customHeight="1">
      <c r="A184" s="75"/>
      <c r="B184" s="329" t="str">
        <f>+B9</f>
        <v>Al 31 de marzo de 2024</v>
      </c>
      <c r="C184" s="329"/>
      <c r="D184" s="93"/>
      <c r="E184" s="193"/>
      <c r="F184" s="75"/>
      <c r="G184" s="75"/>
    </row>
    <row r="185" spans="1:7" s="219" customFormat="1" ht="7.5" customHeight="1">
      <c r="A185" s="75"/>
      <c r="B185" s="259"/>
      <c r="C185" s="270"/>
      <c r="D185" s="270"/>
      <c r="E185" s="193"/>
      <c r="F185" s="75"/>
      <c r="G185" s="75"/>
    </row>
    <row r="186" spans="1:7" s="219" customFormat="1" ht="12" customHeight="1">
      <c r="A186" s="75"/>
      <c r="B186" s="573" t="s">
        <v>97</v>
      </c>
      <c r="C186" s="576" t="s">
        <v>53</v>
      </c>
      <c r="D186" s="579" t="s">
        <v>130</v>
      </c>
      <c r="E186" s="193"/>
      <c r="F186" s="75"/>
      <c r="G186" s="75"/>
    </row>
    <row r="187" spans="1:7" s="219" customFormat="1" ht="12" customHeight="1">
      <c r="A187" s="75"/>
      <c r="B187" s="574"/>
      <c r="C187" s="577"/>
      <c r="D187" s="580"/>
      <c r="E187" s="193"/>
      <c r="F187" s="75"/>
      <c r="G187" s="75"/>
    </row>
    <row r="188" spans="1:6" s="219" customFormat="1" ht="12" customHeight="1">
      <c r="A188" s="75"/>
      <c r="B188" s="575"/>
      <c r="C188" s="578"/>
      <c r="D188" s="581"/>
      <c r="E188" s="193"/>
      <c r="F188" s="75"/>
    </row>
    <row r="189" spans="1:6" s="219" customFormat="1" ht="9.75" customHeight="1">
      <c r="A189" s="75"/>
      <c r="B189" s="260"/>
      <c r="C189" s="272"/>
      <c r="D189" s="273"/>
      <c r="E189" s="193"/>
      <c r="F189" s="75"/>
    </row>
    <row r="190" spans="1:6" s="219" customFormat="1" ht="20.25" customHeight="1">
      <c r="A190" s="75"/>
      <c r="B190" s="100" t="s">
        <v>119</v>
      </c>
      <c r="C190" s="95">
        <v>0</v>
      </c>
      <c r="D190" s="95">
        <v>0</v>
      </c>
      <c r="E190" s="193"/>
      <c r="F190" s="75"/>
    </row>
    <row r="191" spans="1:6" s="219" customFormat="1" ht="7.5" customHeight="1">
      <c r="A191" s="75"/>
      <c r="B191" s="100"/>
      <c r="C191" s="95"/>
      <c r="D191" s="95"/>
      <c r="E191" s="193"/>
      <c r="F191" s="75"/>
    </row>
    <row r="192" spans="1:6" s="219" customFormat="1" ht="12" customHeight="1">
      <c r="A192" s="75"/>
      <c r="B192" s="469"/>
      <c r="C192" s="358"/>
      <c r="D192" s="358"/>
      <c r="E192" s="193"/>
      <c r="F192" s="75"/>
    </row>
    <row r="193" spans="1:6" s="219" customFormat="1" ht="20.25" customHeight="1">
      <c r="A193" s="75"/>
      <c r="B193" s="470" t="s">
        <v>113</v>
      </c>
      <c r="C193" s="95">
        <f>SUM(C195:C264)</f>
        <v>22161.572480000003</v>
      </c>
      <c r="D193" s="95">
        <f>SUM(D195:D264)</f>
        <v>82463.21117</v>
      </c>
      <c r="E193" s="193"/>
      <c r="F193" s="75"/>
    </row>
    <row r="194" spans="2:5" ht="7.5" customHeight="1">
      <c r="B194" s="471"/>
      <c r="C194" s="95"/>
      <c r="D194" s="358"/>
      <c r="E194" s="193"/>
    </row>
    <row r="195" spans="2:5" ht="15.75" customHeight="1">
      <c r="B195" s="468" t="s">
        <v>302</v>
      </c>
      <c r="C195" s="357">
        <v>826.70876</v>
      </c>
      <c r="D195" s="357">
        <f aca="true" t="shared" si="6" ref="D195:D226">ROUND(+C195*$E$9,5)</f>
        <v>3076.1833</v>
      </c>
      <c r="E195" s="193"/>
    </row>
    <row r="196" spans="2:5" ht="15.75" customHeight="1">
      <c r="B196" s="468" t="s">
        <v>175</v>
      </c>
      <c r="C196" s="357">
        <v>743.7501</v>
      </c>
      <c r="D196" s="357">
        <f t="shared" si="6"/>
        <v>2767.49412</v>
      </c>
      <c r="E196" s="193"/>
    </row>
    <row r="197" spans="2:5" ht="15.75" customHeight="1">
      <c r="B197" s="468" t="s">
        <v>339</v>
      </c>
      <c r="C197" s="357">
        <v>686.8165</v>
      </c>
      <c r="D197" s="357">
        <f t="shared" si="6"/>
        <v>2555.6442</v>
      </c>
      <c r="E197" s="193"/>
    </row>
    <row r="198" spans="2:5" ht="15.75" customHeight="1">
      <c r="B198" s="468" t="s">
        <v>364</v>
      </c>
      <c r="C198" s="357">
        <v>651.38871</v>
      </c>
      <c r="D198" s="357">
        <f t="shared" si="6"/>
        <v>2423.81739</v>
      </c>
      <c r="E198" s="193"/>
    </row>
    <row r="199" spans="2:5" ht="15.75" customHeight="1">
      <c r="B199" s="468" t="s">
        <v>365</v>
      </c>
      <c r="C199" s="357">
        <v>627.24453</v>
      </c>
      <c r="D199" s="357">
        <f t="shared" si="6"/>
        <v>2333.9769</v>
      </c>
      <c r="E199" s="193"/>
    </row>
    <row r="200" spans="2:5" ht="15.75" customHeight="1">
      <c r="B200" s="468" t="s">
        <v>314</v>
      </c>
      <c r="C200" s="357">
        <v>574.1360500000001</v>
      </c>
      <c r="D200" s="357">
        <f t="shared" si="6"/>
        <v>2136.36024</v>
      </c>
      <c r="E200" s="193"/>
    </row>
    <row r="201" spans="2:5" ht="15.75" customHeight="1">
      <c r="B201" s="468" t="s">
        <v>300</v>
      </c>
      <c r="C201" s="357">
        <v>559.48256</v>
      </c>
      <c r="D201" s="357">
        <f t="shared" si="6"/>
        <v>2081.83461</v>
      </c>
      <c r="E201" s="193"/>
    </row>
    <row r="202" spans="2:5" ht="15.75" customHeight="1">
      <c r="B202" s="468" t="s">
        <v>348</v>
      </c>
      <c r="C202" s="357">
        <v>556.8549</v>
      </c>
      <c r="D202" s="357">
        <f t="shared" si="6"/>
        <v>2072.05708</v>
      </c>
      <c r="E202" s="193"/>
    </row>
    <row r="203" spans="2:5" ht="15.75" customHeight="1">
      <c r="B203" s="468" t="s">
        <v>313</v>
      </c>
      <c r="C203" s="357">
        <v>550.8264</v>
      </c>
      <c r="D203" s="357">
        <f t="shared" si="6"/>
        <v>2049.62503</v>
      </c>
      <c r="E203" s="193"/>
    </row>
    <row r="204" spans="2:5" ht="15.75" customHeight="1">
      <c r="B204" s="468" t="s">
        <v>366</v>
      </c>
      <c r="C204" s="357">
        <v>529.13151</v>
      </c>
      <c r="D204" s="357">
        <f t="shared" si="6"/>
        <v>1968.89835</v>
      </c>
      <c r="E204" s="193"/>
    </row>
    <row r="205" spans="2:5" ht="15.75" customHeight="1">
      <c r="B205" s="468" t="s">
        <v>314</v>
      </c>
      <c r="C205" s="357">
        <v>528.45402</v>
      </c>
      <c r="D205" s="357">
        <f t="shared" si="6"/>
        <v>1966.37741</v>
      </c>
      <c r="E205" s="193"/>
    </row>
    <row r="206" spans="2:5" ht="15.75" customHeight="1">
      <c r="B206" s="468" t="s">
        <v>355</v>
      </c>
      <c r="C206" s="357">
        <v>516.31614</v>
      </c>
      <c r="D206" s="357">
        <f t="shared" si="6"/>
        <v>1921.21236</v>
      </c>
      <c r="E206" s="193"/>
    </row>
    <row r="207" spans="2:5" ht="15.75" customHeight="1">
      <c r="B207" s="468" t="s">
        <v>327</v>
      </c>
      <c r="C207" s="357">
        <v>423.96175</v>
      </c>
      <c r="D207" s="357">
        <f t="shared" si="6"/>
        <v>1577.56167</v>
      </c>
      <c r="E207" s="193"/>
    </row>
    <row r="208" spans="2:5" ht="15.75" customHeight="1">
      <c r="B208" s="468" t="s">
        <v>367</v>
      </c>
      <c r="C208" s="357">
        <v>421.4393</v>
      </c>
      <c r="D208" s="357">
        <f t="shared" si="6"/>
        <v>1568.17564</v>
      </c>
      <c r="E208" s="193"/>
    </row>
    <row r="209" spans="2:5" ht="15.75" customHeight="1">
      <c r="B209" s="468" t="s">
        <v>315</v>
      </c>
      <c r="C209" s="357">
        <v>406.55157</v>
      </c>
      <c r="D209" s="357">
        <f t="shared" si="6"/>
        <v>1512.77839</v>
      </c>
      <c r="E209" s="193"/>
    </row>
    <row r="210" spans="2:5" ht="15.75" customHeight="1">
      <c r="B210" s="468" t="s">
        <v>368</v>
      </c>
      <c r="C210" s="357">
        <v>404.02828000000005</v>
      </c>
      <c r="D210" s="357">
        <f t="shared" si="6"/>
        <v>1503.38923</v>
      </c>
      <c r="E210" s="193"/>
    </row>
    <row r="211" spans="2:5" ht="15.75" customHeight="1">
      <c r="B211" s="496" t="s">
        <v>306</v>
      </c>
      <c r="C211" s="357">
        <v>403.23071000000004</v>
      </c>
      <c r="D211" s="357">
        <f t="shared" si="6"/>
        <v>1500.42147</v>
      </c>
      <c r="E211" s="193"/>
    </row>
    <row r="212" spans="2:5" ht="15.75" customHeight="1">
      <c r="B212" s="496" t="s">
        <v>357</v>
      </c>
      <c r="C212" s="357">
        <v>397.70995</v>
      </c>
      <c r="D212" s="357">
        <f t="shared" si="6"/>
        <v>1479.87872</v>
      </c>
      <c r="E212" s="193"/>
    </row>
    <row r="213" spans="2:5" ht="15.75" customHeight="1">
      <c r="B213" s="468" t="s">
        <v>356</v>
      </c>
      <c r="C213" s="357">
        <v>397.32651</v>
      </c>
      <c r="D213" s="357">
        <f t="shared" si="6"/>
        <v>1478.45194</v>
      </c>
      <c r="E213" s="193"/>
    </row>
    <row r="214" spans="2:5" ht="15.75" customHeight="1">
      <c r="B214" s="496" t="s">
        <v>370</v>
      </c>
      <c r="C214" s="357">
        <v>362.34691</v>
      </c>
      <c r="D214" s="357">
        <f t="shared" si="6"/>
        <v>1348.29285</v>
      </c>
      <c r="E214" s="193"/>
    </row>
    <row r="215" spans="2:5" ht="15.75" customHeight="1">
      <c r="B215" s="496" t="s">
        <v>369</v>
      </c>
      <c r="C215" s="357">
        <v>342.18389</v>
      </c>
      <c r="D215" s="357">
        <f t="shared" si="6"/>
        <v>1273.26625</v>
      </c>
      <c r="E215" s="193"/>
    </row>
    <row r="216" spans="2:5" ht="15.75" customHeight="1">
      <c r="B216" s="496" t="s">
        <v>371</v>
      </c>
      <c r="C216" s="357">
        <v>327.75079</v>
      </c>
      <c r="D216" s="357">
        <f t="shared" si="6"/>
        <v>1219.56069</v>
      </c>
      <c r="E216" s="193"/>
    </row>
    <row r="217" spans="2:5" ht="15.75" customHeight="1">
      <c r="B217" s="496" t="s">
        <v>318</v>
      </c>
      <c r="C217" s="357">
        <v>323.53891999999996</v>
      </c>
      <c r="D217" s="357">
        <f t="shared" si="6"/>
        <v>1203.88832</v>
      </c>
      <c r="E217" s="193"/>
    </row>
    <row r="218" spans="2:5" ht="15.75" customHeight="1">
      <c r="B218" s="496" t="s">
        <v>311</v>
      </c>
      <c r="C218" s="357">
        <v>317.2162</v>
      </c>
      <c r="D218" s="357">
        <f t="shared" si="6"/>
        <v>1180.36148</v>
      </c>
      <c r="E218" s="193"/>
    </row>
    <row r="219" spans="2:5" ht="15.75" customHeight="1">
      <c r="B219" s="496" t="s">
        <v>372</v>
      </c>
      <c r="C219" s="357">
        <v>314.17813</v>
      </c>
      <c r="D219" s="357">
        <f t="shared" si="6"/>
        <v>1169.05682</v>
      </c>
      <c r="E219" s="193"/>
    </row>
    <row r="220" spans="2:5" ht="15.75" customHeight="1">
      <c r="B220" s="496" t="s">
        <v>376</v>
      </c>
      <c r="C220" s="357">
        <v>304.85443</v>
      </c>
      <c r="D220" s="357">
        <f t="shared" si="6"/>
        <v>1134.36333</v>
      </c>
      <c r="E220" s="193"/>
    </row>
    <row r="221" spans="2:5" ht="15.75" customHeight="1">
      <c r="B221" s="496" t="s">
        <v>349</v>
      </c>
      <c r="C221" s="357">
        <v>301.81614</v>
      </c>
      <c r="D221" s="357">
        <f t="shared" si="6"/>
        <v>1123.05786</v>
      </c>
      <c r="E221" s="193"/>
    </row>
    <row r="222" spans="2:5" ht="15.75" customHeight="1">
      <c r="B222" s="496" t="s">
        <v>411</v>
      </c>
      <c r="C222" s="357">
        <v>280.6759</v>
      </c>
      <c r="D222" s="357">
        <f t="shared" si="6"/>
        <v>1044.39502</v>
      </c>
      <c r="E222" s="193"/>
    </row>
    <row r="223" spans="2:5" ht="15.75" customHeight="1">
      <c r="B223" s="496" t="s">
        <v>373</v>
      </c>
      <c r="C223" s="357">
        <v>275.13339</v>
      </c>
      <c r="D223" s="357">
        <f t="shared" si="6"/>
        <v>1023.77134</v>
      </c>
      <c r="E223" s="193"/>
    </row>
    <row r="224" spans="2:5" ht="15.75" customHeight="1">
      <c r="B224" s="496" t="s">
        <v>374</v>
      </c>
      <c r="C224" s="357">
        <v>271.74757</v>
      </c>
      <c r="D224" s="357">
        <f t="shared" si="6"/>
        <v>1011.17271</v>
      </c>
      <c r="E224" s="193"/>
    </row>
    <row r="225" spans="2:5" ht="15.75" customHeight="1">
      <c r="B225" s="496" t="s">
        <v>377</v>
      </c>
      <c r="C225" s="357">
        <v>271.20482</v>
      </c>
      <c r="D225" s="357">
        <f t="shared" si="6"/>
        <v>1009.15314</v>
      </c>
      <c r="E225" s="193"/>
    </row>
    <row r="226" spans="2:5" ht="15.75" customHeight="1">
      <c r="B226" s="496" t="s">
        <v>402</v>
      </c>
      <c r="C226" s="357">
        <v>270.41661</v>
      </c>
      <c r="D226" s="357">
        <f t="shared" si="6"/>
        <v>1006.22021</v>
      </c>
      <c r="E226" s="193"/>
    </row>
    <row r="227" spans="2:5" ht="15.75" customHeight="1">
      <c r="B227" s="496" t="s">
        <v>375</v>
      </c>
      <c r="C227" s="357">
        <v>261.69076</v>
      </c>
      <c r="D227" s="357">
        <f aca="true" t="shared" si="7" ref="D227:D258">ROUND(+C227*$E$9,5)</f>
        <v>973.75132</v>
      </c>
      <c r="E227" s="193"/>
    </row>
    <row r="228" spans="2:5" ht="15.75" customHeight="1">
      <c r="B228" s="468" t="s">
        <v>419</v>
      </c>
      <c r="C228" s="357">
        <v>255.30771</v>
      </c>
      <c r="D228" s="357">
        <f t="shared" si="7"/>
        <v>949.99999</v>
      </c>
      <c r="E228" s="193"/>
    </row>
    <row r="229" spans="2:5" ht="15.75" customHeight="1">
      <c r="B229" s="496" t="s">
        <v>350</v>
      </c>
      <c r="C229" s="357">
        <v>254.8988</v>
      </c>
      <c r="D229" s="357">
        <f t="shared" si="7"/>
        <v>948.47843</v>
      </c>
      <c r="E229" s="193"/>
    </row>
    <row r="230" spans="2:5" ht="15.75" customHeight="1">
      <c r="B230" s="496" t="s">
        <v>187</v>
      </c>
      <c r="C230" s="357">
        <v>243.73103</v>
      </c>
      <c r="D230" s="357">
        <f t="shared" si="7"/>
        <v>906.92316</v>
      </c>
      <c r="E230" s="193"/>
    </row>
    <row r="231" spans="2:5" ht="15.75" customHeight="1">
      <c r="B231" s="468" t="s">
        <v>295</v>
      </c>
      <c r="C231" s="357">
        <v>231.25273</v>
      </c>
      <c r="D231" s="357">
        <f t="shared" si="7"/>
        <v>860.49141</v>
      </c>
      <c r="E231" s="193"/>
    </row>
    <row r="232" spans="2:5" ht="15.75" customHeight="1">
      <c r="B232" s="496" t="s">
        <v>403</v>
      </c>
      <c r="C232" s="357">
        <v>225.50692999999998</v>
      </c>
      <c r="D232" s="357">
        <f t="shared" si="7"/>
        <v>839.11129</v>
      </c>
      <c r="E232" s="193"/>
    </row>
    <row r="233" spans="2:5" ht="15.75" customHeight="1">
      <c r="B233" s="496" t="s">
        <v>378</v>
      </c>
      <c r="C233" s="357">
        <v>223.81404</v>
      </c>
      <c r="D233" s="357">
        <f t="shared" si="7"/>
        <v>832.81204</v>
      </c>
      <c r="E233" s="193"/>
    </row>
    <row r="234" spans="2:5" ht="15.75" customHeight="1">
      <c r="B234" s="496" t="s">
        <v>340</v>
      </c>
      <c r="C234" s="357">
        <v>214.79685999999998</v>
      </c>
      <c r="D234" s="357">
        <f t="shared" si="7"/>
        <v>799.25912</v>
      </c>
      <c r="E234" s="193"/>
    </row>
    <row r="235" spans="2:5" ht="15.75" customHeight="1">
      <c r="B235" s="496" t="s">
        <v>379</v>
      </c>
      <c r="C235" s="357">
        <v>207.70457000000002</v>
      </c>
      <c r="D235" s="357">
        <f t="shared" si="7"/>
        <v>772.8687</v>
      </c>
      <c r="E235" s="193"/>
    </row>
    <row r="236" spans="2:5" ht="15.75" customHeight="1">
      <c r="B236" s="496" t="s">
        <v>380</v>
      </c>
      <c r="C236" s="357">
        <v>203.48766</v>
      </c>
      <c r="D236" s="357">
        <f t="shared" si="7"/>
        <v>757.17758</v>
      </c>
      <c r="E236" s="193"/>
    </row>
    <row r="237" spans="2:5" ht="15.75" customHeight="1">
      <c r="B237" s="496" t="s">
        <v>404</v>
      </c>
      <c r="C237" s="357">
        <v>190.68622</v>
      </c>
      <c r="D237" s="357">
        <f t="shared" si="7"/>
        <v>709.54342</v>
      </c>
      <c r="E237" s="193"/>
    </row>
    <row r="238" spans="2:5" ht="15.75" customHeight="1">
      <c r="B238" s="496" t="s">
        <v>382</v>
      </c>
      <c r="C238" s="357">
        <v>182.95805</v>
      </c>
      <c r="D238" s="357">
        <f t="shared" si="7"/>
        <v>680.7869</v>
      </c>
      <c r="E238" s="193"/>
    </row>
    <row r="239" spans="2:5" ht="15.75" customHeight="1">
      <c r="B239" s="496" t="s">
        <v>381</v>
      </c>
      <c r="C239" s="357">
        <v>182.90092</v>
      </c>
      <c r="D239" s="357">
        <f t="shared" si="7"/>
        <v>680.57432</v>
      </c>
      <c r="E239" s="193"/>
    </row>
    <row r="240" spans="2:5" ht="15.75" customHeight="1">
      <c r="B240" s="496" t="s">
        <v>341</v>
      </c>
      <c r="C240" s="357">
        <v>171.80070999999998</v>
      </c>
      <c r="D240" s="357">
        <f t="shared" si="7"/>
        <v>639.27044</v>
      </c>
      <c r="E240" s="193"/>
    </row>
    <row r="241" spans="2:5" ht="15.75" customHeight="1">
      <c r="B241" s="496" t="s">
        <v>316</v>
      </c>
      <c r="C241" s="357">
        <v>169.44432</v>
      </c>
      <c r="D241" s="357">
        <f t="shared" si="7"/>
        <v>630.50231</v>
      </c>
      <c r="E241" s="193"/>
    </row>
    <row r="242" spans="2:5" ht="15.75" customHeight="1">
      <c r="B242" s="496" t="s">
        <v>264</v>
      </c>
      <c r="C242" s="357">
        <v>166.26095999999998</v>
      </c>
      <c r="D242" s="357">
        <f t="shared" si="7"/>
        <v>618.65703</v>
      </c>
      <c r="E242" s="193"/>
    </row>
    <row r="243" spans="2:5" ht="15.75" customHeight="1">
      <c r="B243" s="496" t="s">
        <v>328</v>
      </c>
      <c r="C243" s="357">
        <v>160.41796</v>
      </c>
      <c r="D243" s="357">
        <f t="shared" si="7"/>
        <v>596.91523</v>
      </c>
      <c r="E243" s="193"/>
    </row>
    <row r="244" spans="2:5" ht="15.75" customHeight="1">
      <c r="B244" s="496" t="s">
        <v>405</v>
      </c>
      <c r="C244" s="357">
        <v>153.94627</v>
      </c>
      <c r="D244" s="357">
        <f t="shared" si="7"/>
        <v>572.83407</v>
      </c>
      <c r="E244" s="193"/>
    </row>
    <row r="245" spans="2:5" ht="15.75" customHeight="1">
      <c r="B245" s="496" t="s">
        <v>329</v>
      </c>
      <c r="C245" s="357">
        <v>153.03974</v>
      </c>
      <c r="D245" s="357">
        <f t="shared" si="7"/>
        <v>569.46087</v>
      </c>
      <c r="E245" s="193"/>
    </row>
    <row r="246" spans="2:5" ht="15.75" customHeight="1">
      <c r="B246" s="496" t="s">
        <v>351</v>
      </c>
      <c r="C246" s="357">
        <v>143.34258</v>
      </c>
      <c r="D246" s="357">
        <f t="shared" si="7"/>
        <v>533.37774</v>
      </c>
      <c r="E246" s="193"/>
    </row>
    <row r="247" spans="2:5" ht="15.75" customHeight="1">
      <c r="B247" s="496" t="s">
        <v>387</v>
      </c>
      <c r="C247" s="357">
        <v>140.77238</v>
      </c>
      <c r="D247" s="357">
        <f t="shared" si="7"/>
        <v>523.81403</v>
      </c>
      <c r="E247" s="193"/>
    </row>
    <row r="248" spans="2:5" ht="15.75" customHeight="1">
      <c r="B248" s="496" t="s">
        <v>342</v>
      </c>
      <c r="C248" s="357">
        <v>139.76482000000001</v>
      </c>
      <c r="D248" s="357">
        <f t="shared" si="7"/>
        <v>520.0649</v>
      </c>
      <c r="E248" s="193"/>
    </row>
    <row r="249" spans="2:5" ht="15.75" customHeight="1">
      <c r="B249" s="496" t="s">
        <v>303</v>
      </c>
      <c r="C249" s="357">
        <v>138.42234</v>
      </c>
      <c r="D249" s="357">
        <f t="shared" si="7"/>
        <v>515.06953</v>
      </c>
      <c r="E249" s="193"/>
    </row>
    <row r="250" spans="2:5" ht="15.75" customHeight="1">
      <c r="B250" s="496" t="s">
        <v>384</v>
      </c>
      <c r="C250" s="357">
        <v>135.74435999999997</v>
      </c>
      <c r="D250" s="357">
        <f t="shared" si="7"/>
        <v>505.10476</v>
      </c>
      <c r="E250" s="193"/>
    </row>
    <row r="251" spans="2:5" ht="15.75" customHeight="1">
      <c r="B251" s="496" t="s">
        <v>317</v>
      </c>
      <c r="C251" s="357">
        <v>126.48675</v>
      </c>
      <c r="D251" s="357">
        <f t="shared" si="7"/>
        <v>470.6572</v>
      </c>
      <c r="E251" s="193"/>
    </row>
    <row r="252" spans="2:5" ht="15.75" customHeight="1">
      <c r="B252" s="496" t="s">
        <v>383</v>
      </c>
      <c r="C252" s="357">
        <v>122.122</v>
      </c>
      <c r="D252" s="357">
        <f t="shared" si="7"/>
        <v>454.41596</v>
      </c>
      <c r="E252" s="193"/>
    </row>
    <row r="253" spans="2:5" ht="15.75" customHeight="1">
      <c r="B253" s="496" t="s">
        <v>385</v>
      </c>
      <c r="C253" s="357">
        <v>120.20473</v>
      </c>
      <c r="D253" s="357">
        <f t="shared" si="7"/>
        <v>447.2818</v>
      </c>
      <c r="E253" s="193"/>
    </row>
    <row r="254" spans="2:5" ht="15.75" customHeight="1">
      <c r="B254" s="496" t="s">
        <v>406</v>
      </c>
      <c r="C254" s="357">
        <v>112.75346</v>
      </c>
      <c r="D254" s="357">
        <f t="shared" si="7"/>
        <v>419.55562</v>
      </c>
      <c r="E254" s="193"/>
    </row>
    <row r="255" spans="2:5" ht="15.75" customHeight="1">
      <c r="B255" s="496" t="s">
        <v>319</v>
      </c>
      <c r="C255" s="357">
        <v>110.33633999999999</v>
      </c>
      <c r="D255" s="357">
        <f t="shared" si="7"/>
        <v>410.56152</v>
      </c>
      <c r="E255" s="193"/>
    </row>
    <row r="256" spans="2:5" ht="15.75" customHeight="1">
      <c r="B256" s="496" t="s">
        <v>330</v>
      </c>
      <c r="C256" s="357">
        <v>108.7372</v>
      </c>
      <c r="D256" s="357">
        <f t="shared" si="7"/>
        <v>404.61112</v>
      </c>
      <c r="E256" s="193"/>
    </row>
    <row r="257" spans="2:5" ht="15.75" customHeight="1">
      <c r="B257" s="496" t="s">
        <v>412</v>
      </c>
      <c r="C257" s="357">
        <v>108.22650999999999</v>
      </c>
      <c r="D257" s="357">
        <f t="shared" si="7"/>
        <v>402.71084</v>
      </c>
      <c r="E257" s="193"/>
    </row>
    <row r="258" spans="2:5" ht="15.75" customHeight="1">
      <c r="B258" s="496" t="s">
        <v>386</v>
      </c>
      <c r="C258" s="357">
        <v>107.89959</v>
      </c>
      <c r="D258" s="357">
        <f t="shared" si="7"/>
        <v>401.49437</v>
      </c>
      <c r="E258" s="193"/>
    </row>
    <row r="259" spans="2:5" ht="15.75" customHeight="1">
      <c r="B259" s="496" t="s">
        <v>354</v>
      </c>
      <c r="C259" s="357">
        <v>103.59739</v>
      </c>
      <c r="D259" s="357">
        <f>ROUND(+C259*$E$9,5)</f>
        <v>385.48589</v>
      </c>
      <c r="E259" s="193"/>
    </row>
    <row r="260" spans="2:5" ht="15.75" customHeight="1">
      <c r="B260" s="496" t="s">
        <v>358</v>
      </c>
      <c r="C260" s="357">
        <v>103.26047</v>
      </c>
      <c r="D260" s="357">
        <f>ROUND(+C260*$E$9,5)</f>
        <v>384.23221</v>
      </c>
      <c r="E260" s="193"/>
    </row>
    <row r="261" spans="2:5" ht="15.75" customHeight="1">
      <c r="B261" s="496" t="s">
        <v>388</v>
      </c>
      <c r="C261" s="357">
        <v>101.44041</v>
      </c>
      <c r="D261" s="357">
        <f>ROUND(+C261*$E$9,5)</f>
        <v>377.45977</v>
      </c>
      <c r="E261" s="193"/>
    </row>
    <row r="262" spans="2:5" ht="15.75" customHeight="1">
      <c r="B262" s="496" t="s">
        <v>389</v>
      </c>
      <c r="C262" s="357">
        <v>101.44041</v>
      </c>
      <c r="D262" s="357">
        <f>ROUND(+C262*$E$9,5)</f>
        <v>377.45977</v>
      </c>
      <c r="E262" s="193"/>
    </row>
    <row r="263" spans="2:5" ht="15.75" customHeight="1">
      <c r="B263" s="496" t="s">
        <v>268</v>
      </c>
      <c r="C263" s="357">
        <v>101.09742</v>
      </c>
      <c r="D263" s="357">
        <f>ROUND(+C263*$E$9,5)</f>
        <v>376.1835</v>
      </c>
      <c r="E263" s="193"/>
    </row>
    <row r="264" spans="2:5" ht="15.75" customHeight="1">
      <c r="B264" s="468" t="s">
        <v>94</v>
      </c>
      <c r="C264" s="357">
        <v>2013.85513</v>
      </c>
      <c r="D264" s="357">
        <f>ROUND(+C264*$E$9,5)</f>
        <v>7493.55494</v>
      </c>
      <c r="E264" s="193"/>
    </row>
    <row r="265" spans="2:5" ht="12" customHeight="1">
      <c r="B265" s="468"/>
      <c r="C265" s="357"/>
      <c r="D265" s="357"/>
      <c r="E265" s="193"/>
    </row>
    <row r="266" spans="2:5" ht="15.75" customHeight="1">
      <c r="B266" s="470" t="s">
        <v>232</v>
      </c>
      <c r="C266" s="95">
        <v>0</v>
      </c>
      <c r="D266" s="95">
        <v>0</v>
      </c>
      <c r="E266" s="193"/>
    </row>
    <row r="267" spans="2:5" ht="9.75" customHeight="1">
      <c r="B267" s="81"/>
      <c r="C267" s="358"/>
      <c r="D267" s="360"/>
      <c r="E267" s="193"/>
    </row>
    <row r="268" spans="2:5" ht="16.5" customHeight="1">
      <c r="B268" s="568" t="s">
        <v>14</v>
      </c>
      <c r="C268" s="570">
        <f>+C190+C193</f>
        <v>22161.572480000003</v>
      </c>
      <c r="D268" s="570">
        <f>+D190+D193</f>
        <v>82463.21117</v>
      </c>
      <c r="E268" s="193"/>
    </row>
    <row r="269" spans="2:5" ht="16.5" customHeight="1">
      <c r="B269" s="569"/>
      <c r="C269" s="571"/>
      <c r="D269" s="571"/>
      <c r="E269" s="193"/>
    </row>
    <row r="270" spans="2:5" ht="7.5" customHeight="1">
      <c r="B270" s="105"/>
      <c r="C270" s="83"/>
      <c r="D270" s="83"/>
      <c r="E270" s="193"/>
    </row>
    <row r="271" spans="2:7" s="77" customFormat="1" ht="18" customHeight="1">
      <c r="B271" s="486" t="s">
        <v>420</v>
      </c>
      <c r="C271" s="484"/>
      <c r="D271" s="193"/>
      <c r="E271" s="193"/>
      <c r="F271" s="75"/>
      <c r="G271" s="75"/>
    </row>
    <row r="272" spans="2:7" s="77" customFormat="1" ht="4.5" customHeight="1">
      <c r="B272" s="462"/>
      <c r="C272" s="473"/>
      <c r="D272" s="193"/>
      <c r="E272" s="193"/>
      <c r="F272" s="75"/>
      <c r="G272" s="75"/>
    </row>
    <row r="273" spans="2:7" s="74" customFormat="1" ht="15.75">
      <c r="B273" s="485" t="s">
        <v>158</v>
      </c>
      <c r="C273" s="416"/>
      <c r="D273" s="417"/>
      <c r="E273" s="193"/>
      <c r="F273" s="75"/>
      <c r="G273" s="75"/>
    </row>
    <row r="274" spans="2:5" ht="15.75" customHeight="1">
      <c r="B274" s="464" t="s">
        <v>220</v>
      </c>
      <c r="C274" s="418"/>
      <c r="D274" s="418"/>
      <c r="E274" s="193"/>
    </row>
    <row r="275" spans="2:5" ht="12.75" customHeight="1">
      <c r="B275" s="414"/>
      <c r="C275" s="419"/>
      <c r="D275" s="419"/>
      <c r="E275" s="193"/>
    </row>
    <row r="276" spans="2:5" ht="12.75" customHeight="1">
      <c r="B276" s="414"/>
      <c r="C276" s="417"/>
      <c r="D276" s="417"/>
      <c r="E276" s="193"/>
    </row>
    <row r="277" spans="2:5" ht="15">
      <c r="B277" s="414"/>
      <c r="C277" s="420"/>
      <c r="D277" s="420"/>
      <c r="E277" s="193"/>
    </row>
    <row r="278" spans="2:5" ht="15">
      <c r="B278" s="414"/>
      <c r="C278" s="414"/>
      <c r="D278" s="414"/>
      <c r="E278" s="193"/>
    </row>
    <row r="279" spans="2:5" ht="15">
      <c r="B279" s="414"/>
      <c r="C279" s="414"/>
      <c r="D279" s="420"/>
      <c r="E279" s="193"/>
    </row>
    <row r="280" spans="2:5" ht="15">
      <c r="B280" s="414"/>
      <c r="C280" s="421"/>
      <c r="D280" s="414"/>
      <c r="E280" s="193"/>
    </row>
    <row r="281" spans="2:5" ht="15">
      <c r="B281" s="414"/>
      <c r="C281" s="414"/>
      <c r="D281" s="415"/>
      <c r="E281" s="193"/>
    </row>
    <row r="282" spans="2:5" ht="15">
      <c r="B282" s="414"/>
      <c r="C282" s="414"/>
      <c r="D282" s="414"/>
      <c r="E282" s="193"/>
    </row>
    <row r="283" spans="2:5" ht="15">
      <c r="B283" s="414"/>
      <c r="C283" s="414"/>
      <c r="D283" s="414"/>
      <c r="E283" s="193"/>
    </row>
    <row r="284" spans="2:5" ht="15">
      <c r="B284" s="414"/>
      <c r="C284" s="414"/>
      <c r="D284" s="414"/>
      <c r="E284" s="193"/>
    </row>
    <row r="285" spans="2:5" ht="15">
      <c r="B285" s="414"/>
      <c r="C285" s="414"/>
      <c r="D285" s="414"/>
      <c r="E285" s="193"/>
    </row>
    <row r="286" ht="15">
      <c r="E286" s="193"/>
    </row>
    <row r="287" ht="15">
      <c r="E287" s="193"/>
    </row>
    <row r="288" ht="15">
      <c r="E288" s="193"/>
    </row>
    <row r="289" ht="15">
      <c r="E289" s="193"/>
    </row>
    <row r="290" ht="15">
      <c r="E290" s="193"/>
    </row>
    <row r="291" ht="15">
      <c r="E291" s="193"/>
    </row>
    <row r="292" ht="15">
      <c r="E292" s="193"/>
    </row>
    <row r="293" ht="15">
      <c r="E293" s="193"/>
    </row>
    <row r="294" ht="15">
      <c r="E294" s="193"/>
    </row>
    <row r="295" ht="15">
      <c r="E295" s="193"/>
    </row>
    <row r="296" ht="15">
      <c r="E296" s="193"/>
    </row>
    <row r="297" ht="15">
      <c r="E297" s="193"/>
    </row>
    <row r="298" ht="15">
      <c r="E298" s="193"/>
    </row>
    <row r="299" ht="15">
      <c r="E299" s="193"/>
    </row>
    <row r="300" ht="15">
      <c r="E300" s="193"/>
    </row>
    <row r="301" ht="15">
      <c r="E301" s="193"/>
    </row>
    <row r="302" ht="15">
      <c r="E302" s="193"/>
    </row>
    <row r="303" ht="15">
      <c r="E303" s="193"/>
    </row>
    <row r="304" ht="15">
      <c r="E304" s="193"/>
    </row>
    <row r="305" ht="15">
      <c r="E305" s="193"/>
    </row>
  </sheetData>
  <sheetProtection/>
  <mergeCells count="14">
    <mergeCell ref="B11:B13"/>
    <mergeCell ref="C11:C13"/>
    <mergeCell ref="D11:D13"/>
    <mergeCell ref="D168:D169"/>
    <mergeCell ref="B168:B169"/>
    <mergeCell ref="C168:C169"/>
    <mergeCell ref="B268:B269"/>
    <mergeCell ref="C268:C269"/>
    <mergeCell ref="D268:D269"/>
    <mergeCell ref="B175:D175"/>
    <mergeCell ref="B186:B188"/>
    <mergeCell ref="C186:C188"/>
    <mergeCell ref="D186:D188"/>
    <mergeCell ref="B176:D17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rowBreaks count="1" manualBreakCount="1">
    <brk id="178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X101"/>
  <sheetViews>
    <sheetView zoomScale="75" zoomScaleNormal="75" zoomScalePageLayoutView="0" workbookViewId="0" topLeftCell="A1">
      <selection activeCell="B5" sqref="B5:D5"/>
    </sheetView>
  </sheetViews>
  <sheetFormatPr defaultColWidth="10.8515625" defaultRowHeight="15"/>
  <cols>
    <col min="1" max="1" width="4.28125" style="132" customWidth="1"/>
    <col min="2" max="2" width="11.7109375" style="132" customWidth="1"/>
    <col min="3" max="3" width="2.7109375" style="132" hidden="1" customWidth="1"/>
    <col min="4" max="4" width="3.7109375" style="132" bestFit="1" customWidth="1"/>
    <col min="5" max="5" width="14.7109375" style="135" customWidth="1"/>
    <col min="6" max="6" width="14.7109375" style="132" customWidth="1"/>
    <col min="7" max="8" width="14.7109375" style="135" customWidth="1"/>
    <col min="9" max="9" width="14.7109375" style="139" customWidth="1"/>
    <col min="10" max="13" width="14.7109375" style="135" customWidth="1"/>
    <col min="14" max="14" width="10.8515625" style="132" customWidth="1"/>
    <col min="15" max="15" width="15.57421875" style="132" customWidth="1"/>
    <col min="16" max="16" width="11.7109375" style="132" bestFit="1" customWidth="1"/>
    <col min="17" max="17" width="10.7109375" style="132" customWidth="1"/>
    <col min="18" max="23" width="10.8515625" style="132" customWidth="1"/>
    <col min="24" max="24" width="19.28125" style="132" customWidth="1"/>
    <col min="25" max="16384" width="10.8515625" style="132" customWidth="1"/>
  </cols>
  <sheetData>
    <row r="1" ht="15"/>
    <row r="2" ht="15"/>
    <row r="3" ht="15"/>
    <row r="4" spans="15:22" ht="15">
      <c r="O4" s="422"/>
      <c r="P4" s="422"/>
      <c r="Q4" s="422"/>
      <c r="R4" s="422"/>
      <c r="S4" s="422"/>
      <c r="T4" s="422"/>
      <c r="U4" s="422"/>
      <c r="V4" s="422"/>
    </row>
    <row r="5" spans="2:22" ht="18" customHeight="1">
      <c r="B5" s="588" t="s">
        <v>98</v>
      </c>
      <c r="C5" s="588"/>
      <c r="D5" s="588"/>
      <c r="I5" s="136"/>
      <c r="O5" s="422"/>
      <c r="P5" s="422"/>
      <c r="Q5" s="422"/>
      <c r="R5" s="422"/>
      <c r="S5" s="422"/>
      <c r="T5" s="422"/>
      <c r="U5" s="422"/>
      <c r="V5" s="422"/>
    </row>
    <row r="6" spans="2:22" ht="19.5">
      <c r="B6" s="137" t="s">
        <v>242</v>
      </c>
      <c r="C6" s="138"/>
      <c r="D6" s="138"/>
      <c r="M6" s="452" t="s">
        <v>132</v>
      </c>
      <c r="O6" s="422"/>
      <c r="P6" s="422"/>
      <c r="Q6" s="422"/>
      <c r="R6" s="422"/>
      <c r="S6" s="422"/>
      <c r="T6" s="422"/>
      <c r="U6" s="422"/>
      <c r="V6" s="422"/>
    </row>
    <row r="7" spans="2:22" ht="18">
      <c r="B7" s="138" t="s">
        <v>78</v>
      </c>
      <c r="C7" s="136"/>
      <c r="D7" s="136"/>
      <c r="O7" s="422"/>
      <c r="P7" s="422"/>
      <c r="Q7" s="422"/>
      <c r="R7" s="422"/>
      <c r="S7" s="422"/>
      <c r="T7" s="422"/>
      <c r="U7" s="422"/>
      <c r="V7" s="422"/>
    </row>
    <row r="8" spans="2:22" ht="16.5">
      <c r="B8" s="140" t="s">
        <v>159</v>
      </c>
      <c r="C8" s="136"/>
      <c r="D8" s="136"/>
      <c r="O8" s="422"/>
      <c r="P8" s="422"/>
      <c r="Q8" s="422"/>
      <c r="R8" s="422"/>
      <c r="S8" s="422"/>
      <c r="T8" s="422"/>
      <c r="U8" s="422"/>
      <c r="V8" s="422"/>
    </row>
    <row r="9" spans="2:22" ht="16.5">
      <c r="B9" s="136" t="s">
        <v>422</v>
      </c>
      <c r="C9" s="136"/>
      <c r="D9" s="136"/>
      <c r="F9" s="140"/>
      <c r="L9" s="141"/>
      <c r="O9" s="422"/>
      <c r="P9" s="422"/>
      <c r="Q9" s="422"/>
      <c r="R9" s="422"/>
      <c r="S9" s="422"/>
      <c r="T9" s="422"/>
      <c r="U9" s="422"/>
      <c r="V9" s="422"/>
    </row>
    <row r="10" spans="2:22" s="142" customFormat="1" ht="15">
      <c r="B10" s="143" t="s">
        <v>75</v>
      </c>
      <c r="C10" s="143"/>
      <c r="D10" s="143"/>
      <c r="E10" s="144"/>
      <c r="G10" s="144"/>
      <c r="H10" s="144"/>
      <c r="I10" s="145"/>
      <c r="J10" s="144"/>
      <c r="K10" s="144"/>
      <c r="L10" s="144"/>
      <c r="M10" s="144"/>
      <c r="O10" s="423"/>
      <c r="P10" s="423"/>
      <c r="Q10" s="423"/>
      <c r="R10" s="423"/>
      <c r="S10" s="423"/>
      <c r="T10" s="423"/>
      <c r="U10" s="423"/>
      <c r="V10" s="423"/>
    </row>
    <row r="11" ht="9.75" customHeight="1"/>
    <row r="12" spans="2:13" s="146" customFormat="1" ht="19.5" customHeight="1">
      <c r="B12" s="602" t="s">
        <v>93</v>
      </c>
      <c r="C12" s="603"/>
      <c r="D12" s="165"/>
      <c r="E12" s="599" t="s">
        <v>91</v>
      </c>
      <c r="F12" s="600"/>
      <c r="G12" s="601"/>
      <c r="H12" s="599" t="s">
        <v>92</v>
      </c>
      <c r="I12" s="600"/>
      <c r="J12" s="601"/>
      <c r="K12" s="599" t="s">
        <v>31</v>
      </c>
      <c r="L12" s="600"/>
      <c r="M12" s="601"/>
    </row>
    <row r="13" spans="2:13" ht="19.5" customHeight="1">
      <c r="B13" s="604"/>
      <c r="C13" s="605"/>
      <c r="D13" s="166"/>
      <c r="E13" s="149" t="s">
        <v>76</v>
      </c>
      <c r="F13" s="147" t="s">
        <v>77</v>
      </c>
      <c r="G13" s="148" t="s">
        <v>31</v>
      </c>
      <c r="H13" s="149" t="s">
        <v>76</v>
      </c>
      <c r="I13" s="147" t="s">
        <v>77</v>
      </c>
      <c r="J13" s="148" t="s">
        <v>31</v>
      </c>
      <c r="K13" s="149" t="s">
        <v>76</v>
      </c>
      <c r="L13" s="147" t="s">
        <v>77</v>
      </c>
      <c r="M13" s="148" t="s">
        <v>31</v>
      </c>
    </row>
    <row r="14" spans="2:13" ht="9.75" customHeight="1">
      <c r="B14" s="150"/>
      <c r="C14" s="151"/>
      <c r="D14" s="152"/>
      <c r="E14" s="364"/>
      <c r="F14" s="365"/>
      <c r="G14" s="474"/>
      <c r="H14" s="365"/>
      <c r="I14" s="365"/>
      <c r="J14" s="366"/>
      <c r="K14" s="364"/>
      <c r="L14" s="365"/>
      <c r="M14" s="366"/>
    </row>
    <row r="15" spans="2:24" ht="15" customHeight="1">
      <c r="B15" s="482">
        <v>2024</v>
      </c>
      <c r="C15" s="483"/>
      <c r="D15" s="501" t="s">
        <v>407</v>
      </c>
      <c r="E15" s="363">
        <v>1127.48767</v>
      </c>
      <c r="F15" s="361">
        <v>237.16056</v>
      </c>
      <c r="G15" s="361">
        <f aca="true" t="shared" si="0" ref="G15:G34">+F15+E15</f>
        <v>1364.64823</v>
      </c>
      <c r="H15" s="363">
        <v>157692.40694</v>
      </c>
      <c r="I15" s="361">
        <f>20078.54159+28107.336</f>
        <v>48185.877590000004</v>
      </c>
      <c r="J15" s="362">
        <f aca="true" t="shared" si="1" ref="J15:J30">+H15+I15</f>
        <v>205878.28453</v>
      </c>
      <c r="K15" s="363">
        <f aca="true" t="shared" si="2" ref="K15:K30">+E15+H15</f>
        <v>158819.89461</v>
      </c>
      <c r="L15" s="361">
        <f aca="true" t="shared" si="3" ref="L15:L30">+F15+I15</f>
        <v>48423.03815</v>
      </c>
      <c r="M15" s="362">
        <f aca="true" t="shared" si="4" ref="M15:M30">+K15+L15</f>
        <v>207242.93276</v>
      </c>
      <c r="P15" s="153"/>
      <c r="X15" s="154"/>
    </row>
    <row r="16" spans="2:24" ht="15" customHeight="1">
      <c r="B16" s="482">
        <f aca="true" t="shared" si="5" ref="B16:B34">+B15+1</f>
        <v>2025</v>
      </c>
      <c r="C16" s="483"/>
      <c r="D16" s="167"/>
      <c r="E16" s="363">
        <v>2254.97534</v>
      </c>
      <c r="F16" s="361">
        <v>405.1697</v>
      </c>
      <c r="G16" s="361">
        <f t="shared" si="0"/>
        <v>2660.14504</v>
      </c>
      <c r="H16" s="363">
        <v>117477.38917</v>
      </c>
      <c r="I16" s="361">
        <f>23795.23517+29145.39102</f>
        <v>52940.626189999995</v>
      </c>
      <c r="J16" s="362">
        <f t="shared" si="1"/>
        <v>170418.01536</v>
      </c>
      <c r="K16" s="363">
        <f t="shared" si="2"/>
        <v>119732.36451</v>
      </c>
      <c r="L16" s="361">
        <f t="shared" si="3"/>
        <v>53345.795889999994</v>
      </c>
      <c r="M16" s="362">
        <f t="shared" si="4"/>
        <v>173078.1604</v>
      </c>
      <c r="P16" s="153"/>
      <c r="X16" s="154"/>
    </row>
    <row r="17" spans="2:24" ht="15" customHeight="1">
      <c r="B17" s="482">
        <f t="shared" si="5"/>
        <v>2026</v>
      </c>
      <c r="C17" s="483"/>
      <c r="D17" s="167"/>
      <c r="E17" s="363">
        <v>2254.97534</v>
      </c>
      <c r="F17" s="361">
        <v>310.19873</v>
      </c>
      <c r="G17" s="361">
        <f t="shared" si="0"/>
        <v>2565.17407</v>
      </c>
      <c r="H17" s="363">
        <f>182534.47654+10749.79844</f>
        <v>193284.27498000002</v>
      </c>
      <c r="I17" s="361">
        <f>20475.59343+28902.8579</f>
        <v>49378.451329999996</v>
      </c>
      <c r="J17" s="362">
        <f t="shared" si="1"/>
        <v>242662.72631</v>
      </c>
      <c r="K17" s="363">
        <f t="shared" si="2"/>
        <v>195539.25032000002</v>
      </c>
      <c r="L17" s="361">
        <f t="shared" si="3"/>
        <v>49688.65005999999</v>
      </c>
      <c r="M17" s="362">
        <f t="shared" si="4"/>
        <v>245227.90038</v>
      </c>
      <c r="P17" s="153"/>
      <c r="X17" s="154"/>
    </row>
    <row r="18" spans="2:24" ht="15" customHeight="1">
      <c r="B18" s="482">
        <f t="shared" si="5"/>
        <v>2027</v>
      </c>
      <c r="C18" s="483"/>
      <c r="D18" s="167"/>
      <c r="E18" s="363">
        <v>2254.97534</v>
      </c>
      <c r="F18" s="361">
        <v>214.81327</v>
      </c>
      <c r="G18" s="361">
        <f t="shared" si="0"/>
        <v>2469.78861</v>
      </c>
      <c r="H18" s="363">
        <f>67341.54946+13437.24805</f>
        <v>80778.79750999999</v>
      </c>
      <c r="I18" s="361">
        <f>10811.22322+27874.74276</f>
        <v>38685.96598</v>
      </c>
      <c r="J18" s="362">
        <f t="shared" si="1"/>
        <v>119464.76348999998</v>
      </c>
      <c r="K18" s="363">
        <f t="shared" si="2"/>
        <v>83033.77285</v>
      </c>
      <c r="L18" s="361">
        <f t="shared" si="3"/>
        <v>38900.77925</v>
      </c>
      <c r="M18" s="362">
        <f t="shared" si="4"/>
        <v>121934.5521</v>
      </c>
      <c r="P18" s="153"/>
      <c r="X18" s="154"/>
    </row>
    <row r="19" spans="2:24" ht="15" customHeight="1">
      <c r="B19" s="482">
        <f t="shared" si="5"/>
        <v>2028</v>
      </c>
      <c r="C19" s="483"/>
      <c r="D19" s="167"/>
      <c r="E19" s="363">
        <v>2254.97534</v>
      </c>
      <c r="F19" s="361">
        <v>119.50029</v>
      </c>
      <c r="G19" s="361">
        <f t="shared" si="0"/>
        <v>2374.47563</v>
      </c>
      <c r="H19" s="363">
        <f>53290.14996+13437.24805</f>
        <v>66727.39801</v>
      </c>
      <c r="I19" s="361">
        <f>8683.04403+26739.27689</f>
        <v>35422.32092</v>
      </c>
      <c r="J19" s="362">
        <f t="shared" si="1"/>
        <v>102149.71893</v>
      </c>
      <c r="K19" s="363">
        <f t="shared" si="2"/>
        <v>68982.37335000001</v>
      </c>
      <c r="L19" s="361">
        <f t="shared" si="3"/>
        <v>35541.82121</v>
      </c>
      <c r="M19" s="362">
        <f t="shared" si="4"/>
        <v>104524.19456</v>
      </c>
      <c r="P19" s="153"/>
      <c r="X19" s="154"/>
    </row>
    <row r="20" spans="2:24" ht="15" customHeight="1">
      <c r="B20" s="482">
        <f t="shared" si="5"/>
        <v>2029</v>
      </c>
      <c r="C20" s="483"/>
      <c r="D20" s="167"/>
      <c r="E20" s="363">
        <v>1127.48749</v>
      </c>
      <c r="F20" s="361">
        <v>23.96714</v>
      </c>
      <c r="G20" s="361">
        <f t="shared" si="0"/>
        <v>1151.45463</v>
      </c>
      <c r="H20" s="363">
        <f>45448.97591+17468.42247</f>
        <v>62917.39838</v>
      </c>
      <c r="I20" s="361">
        <f>6495.23349+25365.08819</f>
        <v>31860.321679999997</v>
      </c>
      <c r="J20" s="362">
        <f t="shared" si="1"/>
        <v>94777.72005999999</v>
      </c>
      <c r="K20" s="363">
        <f t="shared" si="2"/>
        <v>64044.88587</v>
      </c>
      <c r="L20" s="361">
        <f t="shared" si="3"/>
        <v>31884.288819999998</v>
      </c>
      <c r="M20" s="362">
        <f t="shared" si="4"/>
        <v>95929.17469</v>
      </c>
      <c r="P20" s="153"/>
      <c r="X20" s="154"/>
    </row>
    <row r="21" spans="2:24" ht="15" customHeight="1">
      <c r="B21" s="482">
        <f t="shared" si="5"/>
        <v>2030</v>
      </c>
      <c r="C21" s="483"/>
      <c r="D21" s="167"/>
      <c r="E21" s="363">
        <v>0</v>
      </c>
      <c r="F21" s="361">
        <v>0</v>
      </c>
      <c r="G21" s="361">
        <f t="shared" si="0"/>
        <v>0</v>
      </c>
      <c r="H21" s="363">
        <f>58178.48752+17468.42247</f>
        <v>75646.90999</v>
      </c>
      <c r="I21" s="361">
        <f>4942.41435+23792.93017</f>
        <v>28735.34452</v>
      </c>
      <c r="J21" s="362">
        <f t="shared" si="1"/>
        <v>104382.25451</v>
      </c>
      <c r="K21" s="363">
        <f t="shared" si="2"/>
        <v>75646.90999</v>
      </c>
      <c r="L21" s="361">
        <f t="shared" si="3"/>
        <v>28735.34452</v>
      </c>
      <c r="M21" s="362">
        <f t="shared" si="4"/>
        <v>104382.25451</v>
      </c>
      <c r="P21" s="153"/>
      <c r="X21" s="154"/>
    </row>
    <row r="22" spans="2:24" ht="15" customHeight="1">
      <c r="B22" s="482">
        <f t="shared" si="5"/>
        <v>2031</v>
      </c>
      <c r="C22" s="483"/>
      <c r="D22" s="167"/>
      <c r="E22" s="363">
        <v>0</v>
      </c>
      <c r="F22" s="361">
        <v>0</v>
      </c>
      <c r="G22" s="361">
        <f t="shared" si="0"/>
        <v>0</v>
      </c>
      <c r="H22" s="363">
        <f>37756.69981+17468.42247</f>
        <v>55225.122279999996</v>
      </c>
      <c r="I22" s="361">
        <f>3580.25756+22220.77214</f>
        <v>25801.0297</v>
      </c>
      <c r="J22" s="362">
        <f t="shared" si="1"/>
        <v>81026.15198</v>
      </c>
      <c r="K22" s="363">
        <f t="shared" si="2"/>
        <v>55225.122279999996</v>
      </c>
      <c r="L22" s="361">
        <f t="shared" si="3"/>
        <v>25801.0297</v>
      </c>
      <c r="M22" s="362">
        <f t="shared" si="4"/>
        <v>81026.15198</v>
      </c>
      <c r="P22" s="153"/>
      <c r="X22" s="154"/>
    </row>
    <row r="23" spans="2:24" ht="15" customHeight="1">
      <c r="B23" s="482">
        <f t="shared" si="5"/>
        <v>2032</v>
      </c>
      <c r="C23" s="483"/>
      <c r="D23" s="167"/>
      <c r="E23" s="363">
        <v>0</v>
      </c>
      <c r="F23" s="361">
        <v>0</v>
      </c>
      <c r="G23" s="361">
        <f t="shared" si="0"/>
        <v>0</v>
      </c>
      <c r="H23" s="363">
        <f>34845.64965+17468.42247</f>
        <v>52314.07212</v>
      </c>
      <c r="I23" s="361">
        <f>4133.87706+20706.26544</f>
        <v>24840.142499999998</v>
      </c>
      <c r="J23" s="362">
        <f t="shared" si="1"/>
        <v>77154.21462</v>
      </c>
      <c r="K23" s="363">
        <f t="shared" si="2"/>
        <v>52314.07212</v>
      </c>
      <c r="L23" s="361">
        <f t="shared" si="3"/>
        <v>24840.142499999998</v>
      </c>
      <c r="M23" s="362">
        <f t="shared" si="4"/>
        <v>77154.21462</v>
      </c>
      <c r="P23" s="153"/>
      <c r="X23" s="154"/>
    </row>
    <row r="24" spans="2:24" ht="15" customHeight="1">
      <c r="B24" s="482">
        <f t="shared" si="5"/>
        <v>2033</v>
      </c>
      <c r="C24" s="483"/>
      <c r="D24" s="167"/>
      <c r="E24" s="363">
        <v>0</v>
      </c>
      <c r="F24" s="361">
        <v>0</v>
      </c>
      <c r="G24" s="361">
        <f t="shared" si="0"/>
        <v>0</v>
      </c>
      <c r="H24" s="363">
        <f>13480.67191+17468.42247</f>
        <v>30949.094380000002</v>
      </c>
      <c r="I24" s="361">
        <f>1085.77801+19076.4561</f>
        <v>20162.234109999998</v>
      </c>
      <c r="J24" s="362">
        <f t="shared" si="1"/>
        <v>51111.32849</v>
      </c>
      <c r="K24" s="363">
        <f t="shared" si="2"/>
        <v>30949.094380000002</v>
      </c>
      <c r="L24" s="361">
        <f t="shared" si="3"/>
        <v>20162.234109999998</v>
      </c>
      <c r="M24" s="362">
        <f t="shared" si="4"/>
        <v>51111.32849</v>
      </c>
      <c r="P24" s="153"/>
      <c r="X24" s="154"/>
    </row>
    <row r="25" spans="2:24" ht="15" customHeight="1">
      <c r="B25" s="482">
        <f t="shared" si="5"/>
        <v>2034</v>
      </c>
      <c r="C25" s="483"/>
      <c r="D25" s="167"/>
      <c r="E25" s="363">
        <v>0</v>
      </c>
      <c r="F25" s="361">
        <v>0</v>
      </c>
      <c r="G25" s="361">
        <f t="shared" si="0"/>
        <v>0</v>
      </c>
      <c r="H25" s="363">
        <f>10393.08592+17468.42247</f>
        <v>27861.508390000003</v>
      </c>
      <c r="I25" s="361">
        <f>699.61429+17504.29808</f>
        <v>18203.912370000002</v>
      </c>
      <c r="J25" s="362">
        <f t="shared" si="1"/>
        <v>46065.42076000001</v>
      </c>
      <c r="K25" s="363">
        <f t="shared" si="2"/>
        <v>27861.508390000003</v>
      </c>
      <c r="L25" s="361">
        <f t="shared" si="3"/>
        <v>18203.912370000002</v>
      </c>
      <c r="M25" s="362">
        <f t="shared" si="4"/>
        <v>46065.42076000001</v>
      </c>
      <c r="P25" s="153"/>
      <c r="X25" s="154"/>
    </row>
    <row r="26" spans="2:24" ht="15" customHeight="1">
      <c r="B26" s="482">
        <f t="shared" si="5"/>
        <v>2035</v>
      </c>
      <c r="C26" s="483"/>
      <c r="D26" s="167"/>
      <c r="E26" s="363">
        <v>0</v>
      </c>
      <c r="F26" s="361">
        <v>0</v>
      </c>
      <c r="G26" s="361">
        <f t="shared" si="0"/>
        <v>0</v>
      </c>
      <c r="H26" s="363">
        <f>10369.52218+17468.42247</f>
        <v>27837.94465</v>
      </c>
      <c r="I26" s="361">
        <f>323.70689+15932.14006</f>
        <v>16255.84695</v>
      </c>
      <c r="J26" s="362">
        <f t="shared" si="1"/>
        <v>44093.7916</v>
      </c>
      <c r="K26" s="363">
        <f t="shared" si="2"/>
        <v>27837.94465</v>
      </c>
      <c r="L26" s="361">
        <f t="shared" si="3"/>
        <v>16255.84695</v>
      </c>
      <c r="M26" s="362">
        <f t="shared" si="4"/>
        <v>44093.7916</v>
      </c>
      <c r="P26" s="153"/>
      <c r="X26" s="154"/>
    </row>
    <row r="27" spans="2:24" ht="15" customHeight="1">
      <c r="B27" s="482">
        <f t="shared" si="5"/>
        <v>2036</v>
      </c>
      <c r="C27" s="483"/>
      <c r="D27" s="167"/>
      <c r="E27" s="363">
        <v>0</v>
      </c>
      <c r="F27" s="361">
        <v>0</v>
      </c>
      <c r="G27" s="361">
        <f t="shared" si="0"/>
        <v>0</v>
      </c>
      <c r="H27" s="363">
        <f>1462.07944+17468.42247</f>
        <v>18930.501910000003</v>
      </c>
      <c r="I27" s="361">
        <f>35.09151+14400.40422</f>
        <v>14435.49573</v>
      </c>
      <c r="J27" s="362">
        <f t="shared" si="1"/>
        <v>33365.99764</v>
      </c>
      <c r="K27" s="363">
        <f t="shared" si="2"/>
        <v>18930.501910000003</v>
      </c>
      <c r="L27" s="361">
        <f t="shared" si="3"/>
        <v>14435.49573</v>
      </c>
      <c r="M27" s="362">
        <f t="shared" si="4"/>
        <v>33365.99764</v>
      </c>
      <c r="P27" s="153"/>
      <c r="X27" s="154"/>
    </row>
    <row r="28" spans="2:24" ht="15" customHeight="1">
      <c r="B28" s="482">
        <f t="shared" si="5"/>
        <v>2037</v>
      </c>
      <c r="C28" s="483"/>
      <c r="D28" s="167"/>
      <c r="E28" s="363">
        <v>0</v>
      </c>
      <c r="F28" s="361">
        <v>0</v>
      </c>
      <c r="G28" s="361">
        <f t="shared" si="0"/>
        <v>0</v>
      </c>
      <c r="H28" s="363">
        <f>576.40041+17468.42247</f>
        <v>18044.82288</v>
      </c>
      <c r="I28" s="361">
        <f>21.80346+12787.82401</f>
        <v>12809.62747</v>
      </c>
      <c r="J28" s="362">
        <f t="shared" si="1"/>
        <v>30854.45035</v>
      </c>
      <c r="K28" s="363">
        <f t="shared" si="2"/>
        <v>18044.82288</v>
      </c>
      <c r="L28" s="361">
        <f t="shared" si="3"/>
        <v>12809.62747</v>
      </c>
      <c r="M28" s="362">
        <f t="shared" si="4"/>
        <v>30854.45035</v>
      </c>
      <c r="P28" s="153"/>
      <c r="X28" s="154"/>
    </row>
    <row r="29" spans="2:24" ht="15" customHeight="1">
      <c r="B29" s="482">
        <f t="shared" si="5"/>
        <v>2038</v>
      </c>
      <c r="C29" s="483"/>
      <c r="D29" s="167"/>
      <c r="E29" s="363">
        <v>0</v>
      </c>
      <c r="F29" s="361">
        <v>0</v>
      </c>
      <c r="G29" s="361">
        <f t="shared" si="0"/>
        <v>0</v>
      </c>
      <c r="H29" s="363">
        <f>534.38125+17468.42247</f>
        <v>18002.80372</v>
      </c>
      <c r="I29" s="361">
        <f>15.9892+11215.66599</f>
        <v>11231.65519</v>
      </c>
      <c r="J29" s="362">
        <f t="shared" si="1"/>
        <v>29234.45891</v>
      </c>
      <c r="K29" s="363">
        <f t="shared" si="2"/>
        <v>18002.80372</v>
      </c>
      <c r="L29" s="361">
        <f t="shared" si="3"/>
        <v>11231.65519</v>
      </c>
      <c r="M29" s="362">
        <f t="shared" si="4"/>
        <v>29234.45891</v>
      </c>
      <c r="P29" s="153"/>
      <c r="X29" s="154"/>
    </row>
    <row r="30" spans="2:24" ht="15" customHeight="1">
      <c r="B30" s="482">
        <f t="shared" si="5"/>
        <v>2039</v>
      </c>
      <c r="C30" s="483"/>
      <c r="D30" s="167"/>
      <c r="E30" s="363">
        <v>0</v>
      </c>
      <c r="F30" s="361">
        <v>0</v>
      </c>
      <c r="G30" s="361">
        <f t="shared" si="0"/>
        <v>0</v>
      </c>
      <c r="H30" s="363">
        <f>440.49414+21499.59688</f>
        <v>21940.09102</v>
      </c>
      <c r="I30" s="361">
        <f>10.17495+9552.55805</f>
        <v>9562.733</v>
      </c>
      <c r="J30" s="362">
        <f t="shared" si="1"/>
        <v>31502.82402</v>
      </c>
      <c r="K30" s="363">
        <f t="shared" si="2"/>
        <v>21940.09102</v>
      </c>
      <c r="L30" s="361">
        <f t="shared" si="3"/>
        <v>9562.733</v>
      </c>
      <c r="M30" s="362">
        <f t="shared" si="4"/>
        <v>31502.82402</v>
      </c>
      <c r="P30" s="153"/>
      <c r="X30" s="154"/>
    </row>
    <row r="31" spans="2:24" ht="15" customHeight="1">
      <c r="B31" s="482">
        <f t="shared" si="5"/>
        <v>2040</v>
      </c>
      <c r="C31" s="483"/>
      <c r="D31" s="167"/>
      <c r="E31" s="363">
        <v>0</v>
      </c>
      <c r="F31" s="361">
        <v>0</v>
      </c>
      <c r="G31" s="361">
        <f>+F31+E31</f>
        <v>0</v>
      </c>
      <c r="H31" s="363">
        <f>410.28132+21499.59688</f>
        <v>21909.8782</v>
      </c>
      <c r="I31" s="361">
        <f>4.36069+7639.7934</f>
        <v>7644.15409</v>
      </c>
      <c r="J31" s="362">
        <f>+H31+I31</f>
        <v>29554.03229</v>
      </c>
      <c r="K31" s="363">
        <f aca="true" t="shared" si="6" ref="K31:L34">+E31+H31</f>
        <v>21909.8782</v>
      </c>
      <c r="L31" s="361">
        <f t="shared" si="6"/>
        <v>7644.15409</v>
      </c>
      <c r="M31" s="362">
        <f>+K31+L31</f>
        <v>29554.03229</v>
      </c>
      <c r="P31" s="153"/>
      <c r="X31" s="154"/>
    </row>
    <row r="32" spans="2:24" ht="15" customHeight="1">
      <c r="B32" s="482">
        <f t="shared" si="5"/>
        <v>2041</v>
      </c>
      <c r="C32" s="483"/>
      <c r="D32" s="167"/>
      <c r="E32" s="363">
        <v>0</v>
      </c>
      <c r="F32" s="361">
        <v>0</v>
      </c>
      <c r="G32" s="361">
        <f>+F32+E32</f>
        <v>0</v>
      </c>
      <c r="H32" s="363">
        <f>113.52588+21499.59688</f>
        <v>21613.122760000002</v>
      </c>
      <c r="I32" s="361">
        <v>5682.63061</v>
      </c>
      <c r="J32" s="362">
        <f>+H32+I32</f>
        <v>27295.753370000002</v>
      </c>
      <c r="K32" s="363">
        <f t="shared" si="6"/>
        <v>21613.122760000002</v>
      </c>
      <c r="L32" s="361">
        <f t="shared" si="6"/>
        <v>5682.63061</v>
      </c>
      <c r="M32" s="362">
        <f>+K32+L32</f>
        <v>27295.753370000002</v>
      </c>
      <c r="P32" s="153"/>
      <c r="X32" s="154"/>
    </row>
    <row r="33" spans="2:24" ht="15" customHeight="1">
      <c r="B33" s="482">
        <f t="shared" si="5"/>
        <v>2042</v>
      </c>
      <c r="C33" s="483"/>
      <c r="D33" s="167"/>
      <c r="E33" s="363">
        <v>0</v>
      </c>
      <c r="F33" s="361">
        <v>0</v>
      </c>
      <c r="G33" s="361">
        <f>+F33+E33</f>
        <v>0</v>
      </c>
      <c r="H33" s="363">
        <f>56.76294+21499.59688</f>
        <v>21556.35982</v>
      </c>
      <c r="I33" s="361">
        <v>3747.66689</v>
      </c>
      <c r="J33" s="362">
        <f>+H33+I33</f>
        <v>25304.026710000002</v>
      </c>
      <c r="K33" s="363">
        <f t="shared" si="6"/>
        <v>21556.35982</v>
      </c>
      <c r="L33" s="361">
        <f t="shared" si="6"/>
        <v>3747.66689</v>
      </c>
      <c r="M33" s="362">
        <f>+K33+L33</f>
        <v>25304.026710000002</v>
      </c>
      <c r="P33" s="153"/>
      <c r="X33" s="154"/>
    </row>
    <row r="34" spans="2:24" ht="15" customHeight="1">
      <c r="B34" s="482">
        <f t="shared" si="5"/>
        <v>2043</v>
      </c>
      <c r="C34" s="483"/>
      <c r="D34" s="167"/>
      <c r="E34" s="363">
        <v>0</v>
      </c>
      <c r="F34" s="361">
        <v>0</v>
      </c>
      <c r="G34" s="361">
        <f t="shared" si="0"/>
        <v>0</v>
      </c>
      <c r="H34" s="363">
        <f>9.46026+25530.7713</f>
        <v>25540.23156</v>
      </c>
      <c r="I34" s="361">
        <v>1721.75325</v>
      </c>
      <c r="J34" s="362">
        <f>+H34+I34</f>
        <v>27261.98481</v>
      </c>
      <c r="K34" s="363">
        <f t="shared" si="6"/>
        <v>25540.23156</v>
      </c>
      <c r="L34" s="361">
        <f t="shared" si="6"/>
        <v>1721.75325</v>
      </c>
      <c r="M34" s="362">
        <f>+K34+L34</f>
        <v>27261.98481</v>
      </c>
      <c r="P34" s="153"/>
      <c r="X34" s="154"/>
    </row>
    <row r="35" spans="2:13" ht="9.75" customHeight="1">
      <c r="B35" s="155"/>
      <c r="C35" s="156"/>
      <c r="D35" s="168"/>
      <c r="E35" s="367"/>
      <c r="F35" s="368"/>
      <c r="G35" s="369"/>
      <c r="H35" s="367"/>
      <c r="I35" s="368"/>
      <c r="J35" s="369"/>
      <c r="K35" s="367"/>
      <c r="L35" s="368"/>
      <c r="M35" s="369"/>
    </row>
    <row r="36" spans="2:13" ht="15" customHeight="1">
      <c r="B36" s="595" t="s">
        <v>14</v>
      </c>
      <c r="C36" s="596"/>
      <c r="D36" s="261"/>
      <c r="E36" s="589">
        <f aca="true" t="shared" si="7" ref="E36:M36">SUM(E15:E34)</f>
        <v>11274.87652</v>
      </c>
      <c r="F36" s="591">
        <f t="shared" si="7"/>
        <v>1310.8096899999998</v>
      </c>
      <c r="G36" s="593">
        <f t="shared" si="7"/>
        <v>12585.68621</v>
      </c>
      <c r="H36" s="589">
        <f t="shared" si="7"/>
        <v>1116250.1286699998</v>
      </c>
      <c r="I36" s="591">
        <f t="shared" si="7"/>
        <v>457307.79007000005</v>
      </c>
      <c r="J36" s="593">
        <f t="shared" si="7"/>
        <v>1573557.9187399999</v>
      </c>
      <c r="K36" s="589">
        <f t="shared" si="7"/>
        <v>1127525.0051899997</v>
      </c>
      <c r="L36" s="591">
        <f t="shared" si="7"/>
        <v>458618.59976</v>
      </c>
      <c r="M36" s="593">
        <f t="shared" si="7"/>
        <v>1586143.6049500003</v>
      </c>
    </row>
    <row r="37" spans="2:13" ht="15" customHeight="1">
      <c r="B37" s="597"/>
      <c r="C37" s="598"/>
      <c r="D37" s="262"/>
      <c r="E37" s="590"/>
      <c r="F37" s="592"/>
      <c r="G37" s="594"/>
      <c r="H37" s="590"/>
      <c r="I37" s="592"/>
      <c r="J37" s="594"/>
      <c r="K37" s="590"/>
      <c r="L37" s="592"/>
      <c r="M37" s="594"/>
    </row>
    <row r="38" ht="6.75" customHeight="1"/>
    <row r="39" spans="2:13" s="142" customFormat="1" ht="15" customHeight="1">
      <c r="B39" s="157" t="s">
        <v>112</v>
      </c>
      <c r="C39" s="158"/>
      <c r="D39" s="158"/>
      <c r="E39" s="425"/>
      <c r="F39" s="425"/>
      <c r="G39" s="425"/>
      <c r="H39" s="425"/>
      <c r="I39" s="425"/>
      <c r="J39" s="425"/>
      <c r="K39" s="144"/>
      <c r="L39" s="144"/>
      <c r="M39" s="144"/>
    </row>
    <row r="40" spans="2:13" s="142" customFormat="1" ht="15" customHeight="1">
      <c r="B40" s="157" t="s">
        <v>423</v>
      </c>
      <c r="C40" s="158"/>
      <c r="D40" s="158"/>
      <c r="E40" s="144"/>
      <c r="G40" s="144"/>
      <c r="H40" s="159"/>
      <c r="I40" s="160"/>
      <c r="J40" s="159"/>
      <c r="K40" s="189"/>
      <c r="L40" s="188"/>
      <c r="M40" s="144"/>
    </row>
    <row r="41" spans="2:13" s="142" customFormat="1" ht="15">
      <c r="B41" s="75" t="s">
        <v>424</v>
      </c>
      <c r="C41" s="158"/>
      <c r="D41" s="158"/>
      <c r="E41" s="144"/>
      <c r="G41" s="144"/>
      <c r="H41" s="169"/>
      <c r="I41" s="160"/>
      <c r="J41" s="159"/>
      <c r="K41" s="144"/>
      <c r="L41" s="144"/>
      <c r="M41" s="144"/>
    </row>
    <row r="42" spans="2:13" ht="15.75" customHeight="1">
      <c r="B42" s="424"/>
      <c r="C42" s="424"/>
      <c r="D42" s="424"/>
      <c r="E42" s="425"/>
      <c r="F42" s="425"/>
      <c r="G42" s="425"/>
      <c r="H42" s="425"/>
      <c r="I42" s="425"/>
      <c r="J42" s="425"/>
      <c r="K42" s="425"/>
      <c r="L42" s="425"/>
      <c r="M42" s="425"/>
    </row>
    <row r="43" spans="2:24" ht="15.75" customHeight="1">
      <c r="B43" s="424"/>
      <c r="C43" s="424"/>
      <c r="D43" s="424"/>
      <c r="E43" s="426"/>
      <c r="F43" s="427"/>
      <c r="G43" s="428"/>
      <c r="H43" s="426"/>
      <c r="I43" s="428"/>
      <c r="J43" s="428"/>
      <c r="K43" s="428"/>
      <c r="L43" s="428"/>
      <c r="M43" s="428"/>
      <c r="X43" s="162"/>
    </row>
    <row r="44" spans="2:24" ht="15.75" customHeight="1">
      <c r="B44" s="424"/>
      <c r="C44" s="424"/>
      <c r="D44" s="424"/>
      <c r="E44" s="429"/>
      <c r="F44" s="430"/>
      <c r="G44" s="431"/>
      <c r="H44" s="432"/>
      <c r="I44" s="432"/>
      <c r="J44" s="432"/>
      <c r="K44" s="429"/>
      <c r="L44" s="429"/>
      <c r="M44" s="433"/>
      <c r="Q44" s="210"/>
      <c r="X44" s="162"/>
    </row>
    <row r="45" spans="2:17" ht="15.75" customHeight="1">
      <c r="B45" s="424"/>
      <c r="C45" s="424"/>
      <c r="D45" s="424"/>
      <c r="E45" s="429"/>
      <c r="F45" s="430"/>
      <c r="G45" s="429"/>
      <c r="H45" s="432"/>
      <c r="I45" s="432"/>
      <c r="J45" s="432"/>
      <c r="K45" s="429"/>
      <c r="L45" s="431"/>
      <c r="M45" s="433"/>
      <c r="O45" s="215"/>
      <c r="Q45" s="210"/>
    </row>
    <row r="46" spans="2:17" ht="15.75" customHeight="1">
      <c r="B46" s="424"/>
      <c r="C46" s="424"/>
      <c r="D46" s="424"/>
      <c r="E46" s="429"/>
      <c r="F46" s="430"/>
      <c r="G46" s="429"/>
      <c r="H46" s="429"/>
      <c r="I46" s="434"/>
      <c r="J46" s="429"/>
      <c r="K46" s="429"/>
      <c r="L46" s="429"/>
      <c r="M46" s="435"/>
      <c r="O46" s="216"/>
      <c r="P46" s="216"/>
      <c r="Q46" s="210"/>
    </row>
    <row r="47" spans="2:17" ht="18.75">
      <c r="B47" s="133" t="s">
        <v>107</v>
      </c>
      <c r="C47" s="134"/>
      <c r="D47" s="134"/>
      <c r="M47" s="308"/>
      <c r="Q47" s="210"/>
    </row>
    <row r="48" spans="2:17" ht="19.5">
      <c r="B48" s="137" t="s">
        <v>242</v>
      </c>
      <c r="C48" s="138"/>
      <c r="D48" s="138"/>
      <c r="L48" s="75"/>
      <c r="M48" s="285"/>
      <c r="N48" s="315">
        <f>+Portada!I34</f>
        <v>3.721</v>
      </c>
      <c r="Q48" s="210"/>
    </row>
    <row r="49" spans="2:17" ht="18">
      <c r="B49" s="138" t="s">
        <v>78</v>
      </c>
      <c r="C49" s="136"/>
      <c r="D49" s="136"/>
      <c r="M49" s="263"/>
      <c r="Q49" s="210"/>
    </row>
    <row r="50" spans="2:17" ht="16.5">
      <c r="B50" s="140" t="s">
        <v>123</v>
      </c>
      <c r="C50" s="136"/>
      <c r="D50" s="136"/>
      <c r="L50" s="161"/>
      <c r="O50" s="217"/>
      <c r="Q50" s="210"/>
    </row>
    <row r="51" spans="2:4" ht="15.75">
      <c r="B51" s="136" t="str">
        <f>+B9</f>
        <v>Período: Desde abril 2024 al 2043</v>
      </c>
      <c r="C51" s="136"/>
      <c r="D51" s="136"/>
    </row>
    <row r="52" spans="2:13" ht="15.75">
      <c r="B52" s="143" t="s">
        <v>131</v>
      </c>
      <c r="C52" s="143"/>
      <c r="D52" s="143"/>
      <c r="E52" s="144"/>
      <c r="F52" s="142"/>
      <c r="G52" s="144"/>
      <c r="H52" s="144"/>
      <c r="I52" s="145"/>
      <c r="J52" s="144"/>
      <c r="K52" s="144"/>
      <c r="L52" s="144"/>
      <c r="M52" s="144"/>
    </row>
    <row r="53" ht="9.75" customHeight="1"/>
    <row r="54" spans="2:13" ht="19.5" customHeight="1">
      <c r="B54" s="602" t="s">
        <v>93</v>
      </c>
      <c r="C54" s="603"/>
      <c r="D54" s="165"/>
      <c r="E54" s="599" t="s">
        <v>91</v>
      </c>
      <c r="F54" s="600"/>
      <c r="G54" s="601"/>
      <c r="H54" s="599" t="s">
        <v>92</v>
      </c>
      <c r="I54" s="600"/>
      <c r="J54" s="601"/>
      <c r="K54" s="599" t="s">
        <v>31</v>
      </c>
      <c r="L54" s="600"/>
      <c r="M54" s="601"/>
    </row>
    <row r="55" spans="2:13" ht="19.5" customHeight="1">
      <c r="B55" s="604"/>
      <c r="C55" s="605"/>
      <c r="D55" s="166"/>
      <c r="E55" s="149" t="s">
        <v>76</v>
      </c>
      <c r="F55" s="147" t="s">
        <v>77</v>
      </c>
      <c r="G55" s="148" t="s">
        <v>31</v>
      </c>
      <c r="H55" s="149" t="s">
        <v>76</v>
      </c>
      <c r="I55" s="147" t="s">
        <v>77</v>
      </c>
      <c r="J55" s="148" t="s">
        <v>31</v>
      </c>
      <c r="K55" s="149" t="s">
        <v>76</v>
      </c>
      <c r="L55" s="147" t="s">
        <v>77</v>
      </c>
      <c r="M55" s="148" t="s">
        <v>31</v>
      </c>
    </row>
    <row r="56" spans="2:13" ht="9.75" customHeight="1">
      <c r="B56" s="150"/>
      <c r="C56" s="151"/>
      <c r="D56" s="152"/>
      <c r="E56" s="364"/>
      <c r="F56" s="365"/>
      <c r="G56" s="366"/>
      <c r="H56" s="364"/>
      <c r="I56" s="365"/>
      <c r="J56" s="366"/>
      <c r="K56" s="364"/>
      <c r="L56" s="365"/>
      <c r="M56" s="366"/>
    </row>
    <row r="57" spans="2:16" ht="15.75">
      <c r="B57" s="482">
        <v>2024</v>
      </c>
      <c r="C57" s="482" t="e">
        <f>+#REF!+1</f>
        <v>#REF!</v>
      </c>
      <c r="D57" s="501" t="s">
        <v>407</v>
      </c>
      <c r="E57" s="363">
        <f aca="true" t="shared" si="8" ref="E57:F76">ROUND(+E15*$N$48,5)</f>
        <v>4195.38162</v>
      </c>
      <c r="F57" s="361">
        <f t="shared" si="8"/>
        <v>882.47444</v>
      </c>
      <c r="G57" s="362">
        <f aca="true" t="shared" si="9" ref="G57:G69">+F57+E57</f>
        <v>5077.85606</v>
      </c>
      <c r="H57" s="363">
        <f aca="true" t="shared" si="10" ref="H57:I76">ROUND(+H15*$N$48,5)</f>
        <v>586773.44622</v>
      </c>
      <c r="I57" s="361">
        <f t="shared" si="10"/>
        <v>179299.65051</v>
      </c>
      <c r="J57" s="362">
        <f aca="true" t="shared" si="11" ref="J57:J72">+H57+I57</f>
        <v>766073.0967300001</v>
      </c>
      <c r="K57" s="363">
        <f aca="true" t="shared" si="12" ref="K57:K64">+E57+H57</f>
        <v>590968.82784</v>
      </c>
      <c r="L57" s="361">
        <f aca="true" t="shared" si="13" ref="L57:L64">+F57+I57</f>
        <v>180182.12495</v>
      </c>
      <c r="M57" s="362">
        <f aca="true" t="shared" si="14" ref="M57:M72">+K57+L57</f>
        <v>771150.95279</v>
      </c>
      <c r="P57" s="154"/>
    </row>
    <row r="58" spans="2:16" ht="15.75">
      <c r="B58" s="482">
        <f aca="true" t="shared" si="15" ref="B58:B76">+B57+1</f>
        <v>2025</v>
      </c>
      <c r="C58" s="482" t="e">
        <f aca="true" t="shared" si="16" ref="C58:C72">+C57+1</f>
        <v>#REF!</v>
      </c>
      <c r="D58" s="167"/>
      <c r="E58" s="363">
        <f t="shared" si="8"/>
        <v>8390.76324</v>
      </c>
      <c r="F58" s="361">
        <f t="shared" si="8"/>
        <v>1507.63645</v>
      </c>
      <c r="G58" s="362">
        <f t="shared" si="9"/>
        <v>9898.39969</v>
      </c>
      <c r="H58" s="363">
        <f t="shared" si="10"/>
        <v>437133.3651</v>
      </c>
      <c r="I58" s="361">
        <f t="shared" si="10"/>
        <v>196992.07005</v>
      </c>
      <c r="J58" s="362">
        <f t="shared" si="11"/>
        <v>634125.43515</v>
      </c>
      <c r="K58" s="363">
        <f t="shared" si="12"/>
        <v>445524.12834</v>
      </c>
      <c r="L58" s="361">
        <f t="shared" si="13"/>
        <v>198499.7065</v>
      </c>
      <c r="M58" s="362">
        <f t="shared" si="14"/>
        <v>644023.83484</v>
      </c>
      <c r="P58" s="154"/>
    </row>
    <row r="59" spans="2:16" ht="15.75">
      <c r="B59" s="482">
        <f t="shared" si="15"/>
        <v>2026</v>
      </c>
      <c r="C59" s="482" t="e">
        <f t="shared" si="16"/>
        <v>#REF!</v>
      </c>
      <c r="D59" s="167"/>
      <c r="E59" s="363">
        <f t="shared" si="8"/>
        <v>8390.76324</v>
      </c>
      <c r="F59" s="361">
        <f t="shared" si="8"/>
        <v>1154.24947</v>
      </c>
      <c r="G59" s="362">
        <f t="shared" si="9"/>
        <v>9545.01271</v>
      </c>
      <c r="H59" s="363">
        <f t="shared" si="10"/>
        <v>719210.7872</v>
      </c>
      <c r="I59" s="361">
        <f t="shared" si="10"/>
        <v>183737.2174</v>
      </c>
      <c r="J59" s="362">
        <f t="shared" si="11"/>
        <v>902948.0046</v>
      </c>
      <c r="K59" s="363">
        <f t="shared" si="12"/>
        <v>727601.55044</v>
      </c>
      <c r="L59" s="361">
        <f t="shared" si="13"/>
        <v>184891.46687</v>
      </c>
      <c r="M59" s="362">
        <f t="shared" si="14"/>
        <v>912493.01731</v>
      </c>
      <c r="P59" s="154"/>
    </row>
    <row r="60" spans="2:16" ht="15.75">
      <c r="B60" s="482">
        <f t="shared" si="15"/>
        <v>2027</v>
      </c>
      <c r="C60" s="482" t="e">
        <f t="shared" si="16"/>
        <v>#REF!</v>
      </c>
      <c r="D60" s="167"/>
      <c r="E60" s="363">
        <f t="shared" si="8"/>
        <v>8390.76324</v>
      </c>
      <c r="F60" s="361">
        <f t="shared" si="8"/>
        <v>799.32018</v>
      </c>
      <c r="G60" s="362">
        <f t="shared" si="9"/>
        <v>9190.08342</v>
      </c>
      <c r="H60" s="363">
        <f t="shared" si="10"/>
        <v>300577.90553</v>
      </c>
      <c r="I60" s="361">
        <f t="shared" si="10"/>
        <v>143950.47941</v>
      </c>
      <c r="J60" s="362">
        <f t="shared" si="11"/>
        <v>444528.38494</v>
      </c>
      <c r="K60" s="363">
        <f t="shared" si="12"/>
        <v>308968.66877</v>
      </c>
      <c r="L60" s="361">
        <f t="shared" si="13"/>
        <v>144749.79959</v>
      </c>
      <c r="M60" s="362">
        <f t="shared" si="14"/>
        <v>453718.46836</v>
      </c>
      <c r="P60" s="154"/>
    </row>
    <row r="61" spans="2:16" ht="15.75">
      <c r="B61" s="482">
        <f t="shared" si="15"/>
        <v>2028</v>
      </c>
      <c r="C61" s="482" t="e">
        <f t="shared" si="16"/>
        <v>#REF!</v>
      </c>
      <c r="D61" s="167"/>
      <c r="E61" s="363">
        <f t="shared" si="8"/>
        <v>8390.76324</v>
      </c>
      <c r="F61" s="361">
        <f t="shared" si="8"/>
        <v>444.66058</v>
      </c>
      <c r="G61" s="362">
        <f t="shared" si="9"/>
        <v>8835.42382</v>
      </c>
      <c r="H61" s="363">
        <f t="shared" si="10"/>
        <v>248292.648</v>
      </c>
      <c r="I61" s="361">
        <f t="shared" si="10"/>
        <v>131806.45614</v>
      </c>
      <c r="J61" s="362">
        <f t="shared" si="11"/>
        <v>380099.10413999995</v>
      </c>
      <c r="K61" s="363">
        <f t="shared" si="12"/>
        <v>256683.41124</v>
      </c>
      <c r="L61" s="361">
        <f t="shared" si="13"/>
        <v>132251.11672</v>
      </c>
      <c r="M61" s="362">
        <f t="shared" si="14"/>
        <v>388934.52796</v>
      </c>
      <c r="P61" s="154"/>
    </row>
    <row r="62" spans="2:16" ht="15.75">
      <c r="B62" s="482">
        <f t="shared" si="15"/>
        <v>2029</v>
      </c>
      <c r="C62" s="482" t="e">
        <f t="shared" si="16"/>
        <v>#REF!</v>
      </c>
      <c r="D62" s="167"/>
      <c r="E62" s="363">
        <f t="shared" si="8"/>
        <v>4195.38095</v>
      </c>
      <c r="F62" s="361">
        <f t="shared" si="8"/>
        <v>89.18173</v>
      </c>
      <c r="G62" s="362">
        <f>+F62+E62</f>
        <v>4284.56268</v>
      </c>
      <c r="H62" s="363">
        <f t="shared" si="10"/>
        <v>234115.63937</v>
      </c>
      <c r="I62" s="361">
        <f t="shared" si="10"/>
        <v>118552.25697</v>
      </c>
      <c r="J62" s="362">
        <f t="shared" si="11"/>
        <v>352667.89634</v>
      </c>
      <c r="K62" s="363">
        <f t="shared" si="12"/>
        <v>238311.02031999998</v>
      </c>
      <c r="L62" s="361">
        <f t="shared" si="13"/>
        <v>118641.4387</v>
      </c>
      <c r="M62" s="362">
        <f t="shared" si="14"/>
        <v>356952.45901999995</v>
      </c>
      <c r="P62" s="154"/>
    </row>
    <row r="63" spans="2:16" ht="15.75">
      <c r="B63" s="482">
        <f t="shared" si="15"/>
        <v>2030</v>
      </c>
      <c r="C63" s="482" t="e">
        <f t="shared" si="16"/>
        <v>#REF!</v>
      </c>
      <c r="D63" s="167"/>
      <c r="E63" s="363">
        <f t="shared" si="8"/>
        <v>0</v>
      </c>
      <c r="F63" s="361">
        <f t="shared" si="8"/>
        <v>0</v>
      </c>
      <c r="G63" s="362">
        <f t="shared" si="9"/>
        <v>0</v>
      </c>
      <c r="H63" s="363">
        <f t="shared" si="10"/>
        <v>281482.15207</v>
      </c>
      <c r="I63" s="361">
        <f t="shared" si="10"/>
        <v>106924.21696</v>
      </c>
      <c r="J63" s="362">
        <f t="shared" si="11"/>
        <v>388406.36903</v>
      </c>
      <c r="K63" s="363">
        <f t="shared" si="12"/>
        <v>281482.15207</v>
      </c>
      <c r="L63" s="361">
        <f t="shared" si="13"/>
        <v>106924.21696</v>
      </c>
      <c r="M63" s="362">
        <f t="shared" si="14"/>
        <v>388406.36903</v>
      </c>
      <c r="P63" s="154"/>
    </row>
    <row r="64" spans="2:16" ht="15.75">
      <c r="B64" s="482">
        <f t="shared" si="15"/>
        <v>2031</v>
      </c>
      <c r="C64" s="482" t="e">
        <f t="shared" si="16"/>
        <v>#REF!</v>
      </c>
      <c r="D64" s="167"/>
      <c r="E64" s="363">
        <f t="shared" si="8"/>
        <v>0</v>
      </c>
      <c r="F64" s="361">
        <f t="shared" si="8"/>
        <v>0</v>
      </c>
      <c r="G64" s="362">
        <f t="shared" si="9"/>
        <v>0</v>
      </c>
      <c r="H64" s="363">
        <f t="shared" si="10"/>
        <v>205492.68</v>
      </c>
      <c r="I64" s="361">
        <f t="shared" si="10"/>
        <v>96005.63151</v>
      </c>
      <c r="J64" s="362">
        <f t="shared" si="11"/>
        <v>301498.31151</v>
      </c>
      <c r="K64" s="363">
        <f t="shared" si="12"/>
        <v>205492.68</v>
      </c>
      <c r="L64" s="361">
        <f t="shared" si="13"/>
        <v>96005.63151</v>
      </c>
      <c r="M64" s="362">
        <f t="shared" si="14"/>
        <v>301498.31151</v>
      </c>
      <c r="P64" s="154"/>
    </row>
    <row r="65" spans="2:16" ht="15.75">
      <c r="B65" s="482">
        <f t="shared" si="15"/>
        <v>2032</v>
      </c>
      <c r="C65" s="482" t="e">
        <f t="shared" si="16"/>
        <v>#REF!</v>
      </c>
      <c r="D65" s="167"/>
      <c r="E65" s="363">
        <f t="shared" si="8"/>
        <v>0</v>
      </c>
      <c r="F65" s="361">
        <f t="shared" si="8"/>
        <v>0</v>
      </c>
      <c r="G65" s="362">
        <f t="shared" si="9"/>
        <v>0</v>
      </c>
      <c r="H65" s="363">
        <f t="shared" si="10"/>
        <v>194660.66236</v>
      </c>
      <c r="I65" s="361">
        <f t="shared" si="10"/>
        <v>92430.17024</v>
      </c>
      <c r="J65" s="362">
        <f t="shared" si="11"/>
        <v>287090.83259999997</v>
      </c>
      <c r="K65" s="363">
        <f aca="true" t="shared" si="17" ref="K65:K72">+E65+H65</f>
        <v>194660.66236</v>
      </c>
      <c r="L65" s="361">
        <f aca="true" t="shared" si="18" ref="L65:L72">+F65+I65</f>
        <v>92430.17024</v>
      </c>
      <c r="M65" s="362">
        <f t="shared" si="14"/>
        <v>287090.83259999997</v>
      </c>
      <c r="P65" s="154"/>
    </row>
    <row r="66" spans="2:16" ht="15.75">
      <c r="B66" s="482">
        <f t="shared" si="15"/>
        <v>2033</v>
      </c>
      <c r="C66" s="482" t="e">
        <f t="shared" si="16"/>
        <v>#REF!</v>
      </c>
      <c r="D66" s="167"/>
      <c r="E66" s="363">
        <f t="shared" si="8"/>
        <v>0</v>
      </c>
      <c r="F66" s="361">
        <f t="shared" si="8"/>
        <v>0</v>
      </c>
      <c r="G66" s="362">
        <f t="shared" si="9"/>
        <v>0</v>
      </c>
      <c r="H66" s="363">
        <f t="shared" si="10"/>
        <v>115161.58019</v>
      </c>
      <c r="I66" s="361">
        <f t="shared" si="10"/>
        <v>75023.67312</v>
      </c>
      <c r="J66" s="362">
        <f t="shared" si="11"/>
        <v>190185.25331</v>
      </c>
      <c r="K66" s="363">
        <f t="shared" si="17"/>
        <v>115161.58019</v>
      </c>
      <c r="L66" s="361">
        <f t="shared" si="18"/>
        <v>75023.67312</v>
      </c>
      <c r="M66" s="362">
        <f t="shared" si="14"/>
        <v>190185.25331</v>
      </c>
      <c r="P66" s="154"/>
    </row>
    <row r="67" spans="2:16" ht="15.75">
      <c r="B67" s="482">
        <f t="shared" si="15"/>
        <v>2034</v>
      </c>
      <c r="C67" s="482" t="e">
        <f t="shared" si="16"/>
        <v>#REF!</v>
      </c>
      <c r="D67" s="167"/>
      <c r="E67" s="363">
        <f t="shared" si="8"/>
        <v>0</v>
      </c>
      <c r="F67" s="361">
        <f t="shared" si="8"/>
        <v>0</v>
      </c>
      <c r="G67" s="362">
        <f t="shared" si="9"/>
        <v>0</v>
      </c>
      <c r="H67" s="363">
        <f t="shared" si="10"/>
        <v>103672.67272</v>
      </c>
      <c r="I67" s="361">
        <f t="shared" si="10"/>
        <v>67736.75793</v>
      </c>
      <c r="J67" s="362">
        <f t="shared" si="11"/>
        <v>171409.43065</v>
      </c>
      <c r="K67" s="363">
        <f t="shared" si="17"/>
        <v>103672.67272</v>
      </c>
      <c r="L67" s="361">
        <f t="shared" si="18"/>
        <v>67736.75793</v>
      </c>
      <c r="M67" s="362">
        <f t="shared" si="14"/>
        <v>171409.43065</v>
      </c>
      <c r="P67" s="154"/>
    </row>
    <row r="68" spans="2:16" ht="15.75">
      <c r="B68" s="482">
        <f t="shared" si="15"/>
        <v>2035</v>
      </c>
      <c r="C68" s="482" t="e">
        <f t="shared" si="16"/>
        <v>#REF!</v>
      </c>
      <c r="D68" s="167"/>
      <c r="E68" s="363">
        <f t="shared" si="8"/>
        <v>0</v>
      </c>
      <c r="F68" s="361">
        <f t="shared" si="8"/>
        <v>0</v>
      </c>
      <c r="G68" s="362">
        <f t="shared" si="9"/>
        <v>0</v>
      </c>
      <c r="H68" s="363">
        <f t="shared" si="10"/>
        <v>103584.99204</v>
      </c>
      <c r="I68" s="361">
        <f t="shared" si="10"/>
        <v>60488.0065</v>
      </c>
      <c r="J68" s="362">
        <f t="shared" si="11"/>
        <v>164072.99854</v>
      </c>
      <c r="K68" s="363">
        <f t="shared" si="17"/>
        <v>103584.99204</v>
      </c>
      <c r="L68" s="361">
        <f t="shared" si="18"/>
        <v>60488.0065</v>
      </c>
      <c r="M68" s="362">
        <f t="shared" si="14"/>
        <v>164072.99854</v>
      </c>
      <c r="P68" s="154"/>
    </row>
    <row r="69" spans="2:16" ht="15.75">
      <c r="B69" s="482">
        <f t="shared" si="15"/>
        <v>2036</v>
      </c>
      <c r="C69" s="482" t="e">
        <f t="shared" si="16"/>
        <v>#REF!</v>
      </c>
      <c r="D69" s="167"/>
      <c r="E69" s="363">
        <f t="shared" si="8"/>
        <v>0</v>
      </c>
      <c r="F69" s="361">
        <f t="shared" si="8"/>
        <v>0</v>
      </c>
      <c r="G69" s="362">
        <f t="shared" si="9"/>
        <v>0</v>
      </c>
      <c r="H69" s="363">
        <f t="shared" si="10"/>
        <v>70440.39761</v>
      </c>
      <c r="I69" s="361">
        <f t="shared" si="10"/>
        <v>53714.47961</v>
      </c>
      <c r="J69" s="362">
        <f t="shared" si="11"/>
        <v>124154.87722</v>
      </c>
      <c r="K69" s="363">
        <f t="shared" si="17"/>
        <v>70440.39761</v>
      </c>
      <c r="L69" s="361">
        <f t="shared" si="18"/>
        <v>53714.47961</v>
      </c>
      <c r="M69" s="362">
        <f t="shared" si="14"/>
        <v>124154.87722</v>
      </c>
      <c r="P69" s="154"/>
    </row>
    <row r="70" spans="2:16" ht="15.75">
      <c r="B70" s="482">
        <f t="shared" si="15"/>
        <v>2037</v>
      </c>
      <c r="C70" s="482" t="e">
        <f t="shared" si="16"/>
        <v>#REF!</v>
      </c>
      <c r="D70" s="167"/>
      <c r="E70" s="363">
        <f t="shared" si="8"/>
        <v>0</v>
      </c>
      <c r="F70" s="361">
        <f t="shared" si="8"/>
        <v>0</v>
      </c>
      <c r="G70" s="362">
        <f aca="true" t="shared" si="19" ref="G70:G76">+F70+E70</f>
        <v>0</v>
      </c>
      <c r="H70" s="363">
        <f t="shared" si="10"/>
        <v>67144.78594</v>
      </c>
      <c r="I70" s="361">
        <f t="shared" si="10"/>
        <v>47664.62382</v>
      </c>
      <c r="J70" s="362">
        <f t="shared" si="11"/>
        <v>114809.40976000001</v>
      </c>
      <c r="K70" s="363">
        <f t="shared" si="17"/>
        <v>67144.78594</v>
      </c>
      <c r="L70" s="361">
        <f t="shared" si="18"/>
        <v>47664.62382</v>
      </c>
      <c r="M70" s="362">
        <f t="shared" si="14"/>
        <v>114809.40976000001</v>
      </c>
      <c r="P70" s="154"/>
    </row>
    <row r="71" spans="2:16" ht="15.75">
      <c r="B71" s="482">
        <f t="shared" si="15"/>
        <v>2038</v>
      </c>
      <c r="C71" s="482" t="e">
        <f t="shared" si="16"/>
        <v>#REF!</v>
      </c>
      <c r="D71" s="167"/>
      <c r="E71" s="363">
        <f t="shared" si="8"/>
        <v>0</v>
      </c>
      <c r="F71" s="361">
        <f t="shared" si="8"/>
        <v>0</v>
      </c>
      <c r="G71" s="362">
        <f t="shared" si="19"/>
        <v>0</v>
      </c>
      <c r="H71" s="363">
        <f t="shared" si="10"/>
        <v>66988.43264</v>
      </c>
      <c r="I71" s="361">
        <f t="shared" si="10"/>
        <v>41792.98896</v>
      </c>
      <c r="J71" s="362">
        <f t="shared" si="11"/>
        <v>108781.4216</v>
      </c>
      <c r="K71" s="363">
        <f t="shared" si="17"/>
        <v>66988.43264</v>
      </c>
      <c r="L71" s="361">
        <f t="shared" si="18"/>
        <v>41792.98896</v>
      </c>
      <c r="M71" s="362">
        <f t="shared" si="14"/>
        <v>108781.4216</v>
      </c>
      <c r="P71" s="154"/>
    </row>
    <row r="72" spans="2:16" ht="15.75">
      <c r="B72" s="482">
        <f t="shared" si="15"/>
        <v>2039</v>
      </c>
      <c r="C72" s="482" t="e">
        <f t="shared" si="16"/>
        <v>#REF!</v>
      </c>
      <c r="D72" s="167"/>
      <c r="E72" s="363">
        <f t="shared" si="8"/>
        <v>0</v>
      </c>
      <c r="F72" s="361">
        <f t="shared" si="8"/>
        <v>0</v>
      </c>
      <c r="G72" s="362">
        <f t="shared" si="19"/>
        <v>0</v>
      </c>
      <c r="H72" s="363">
        <f t="shared" si="10"/>
        <v>81639.07869</v>
      </c>
      <c r="I72" s="361">
        <f t="shared" si="10"/>
        <v>35582.92949</v>
      </c>
      <c r="J72" s="362">
        <f t="shared" si="11"/>
        <v>117222.00818</v>
      </c>
      <c r="K72" s="363">
        <f t="shared" si="17"/>
        <v>81639.07869</v>
      </c>
      <c r="L72" s="361">
        <f t="shared" si="18"/>
        <v>35582.92949</v>
      </c>
      <c r="M72" s="362">
        <f t="shared" si="14"/>
        <v>117222.00818</v>
      </c>
      <c r="P72" s="154"/>
    </row>
    <row r="73" spans="2:16" ht="15.75">
      <c r="B73" s="482">
        <f t="shared" si="15"/>
        <v>2040</v>
      </c>
      <c r="C73" s="482"/>
      <c r="D73" s="167"/>
      <c r="E73" s="363">
        <f t="shared" si="8"/>
        <v>0</v>
      </c>
      <c r="F73" s="361">
        <f t="shared" si="8"/>
        <v>0</v>
      </c>
      <c r="G73" s="362">
        <f t="shared" si="19"/>
        <v>0</v>
      </c>
      <c r="H73" s="363">
        <f t="shared" si="10"/>
        <v>81526.65678</v>
      </c>
      <c r="I73" s="361">
        <f t="shared" si="10"/>
        <v>28443.89737</v>
      </c>
      <c r="J73" s="362">
        <f>+H73+I73</f>
        <v>109970.55415000001</v>
      </c>
      <c r="K73" s="363">
        <f aca="true" t="shared" si="20" ref="K73:L76">+E73+H73</f>
        <v>81526.65678</v>
      </c>
      <c r="L73" s="361">
        <f t="shared" si="20"/>
        <v>28443.89737</v>
      </c>
      <c r="M73" s="362">
        <f>+K73+L73</f>
        <v>109970.55415000001</v>
      </c>
      <c r="P73" s="154"/>
    </row>
    <row r="74" spans="2:16" ht="15.75">
      <c r="B74" s="482">
        <f t="shared" si="15"/>
        <v>2041</v>
      </c>
      <c r="C74" s="482"/>
      <c r="D74" s="167"/>
      <c r="E74" s="363">
        <f t="shared" si="8"/>
        <v>0</v>
      </c>
      <c r="F74" s="361">
        <f t="shared" si="8"/>
        <v>0</v>
      </c>
      <c r="G74" s="362">
        <f t="shared" si="19"/>
        <v>0</v>
      </c>
      <c r="H74" s="363">
        <f t="shared" si="10"/>
        <v>80422.42979</v>
      </c>
      <c r="I74" s="361">
        <f t="shared" si="10"/>
        <v>21145.0685</v>
      </c>
      <c r="J74" s="362">
        <f>+H74+I74</f>
        <v>101567.49828999999</v>
      </c>
      <c r="K74" s="363">
        <f t="shared" si="20"/>
        <v>80422.42979</v>
      </c>
      <c r="L74" s="361">
        <f t="shared" si="20"/>
        <v>21145.0685</v>
      </c>
      <c r="M74" s="362">
        <f>+K74+L74</f>
        <v>101567.49828999999</v>
      </c>
      <c r="P74" s="154"/>
    </row>
    <row r="75" spans="2:16" ht="15.75">
      <c r="B75" s="482">
        <f t="shared" si="15"/>
        <v>2042</v>
      </c>
      <c r="C75" s="482"/>
      <c r="D75" s="167"/>
      <c r="E75" s="363">
        <f t="shared" si="8"/>
        <v>0</v>
      </c>
      <c r="F75" s="361">
        <f t="shared" si="8"/>
        <v>0</v>
      </c>
      <c r="G75" s="362">
        <f t="shared" si="19"/>
        <v>0</v>
      </c>
      <c r="H75" s="363">
        <f t="shared" si="10"/>
        <v>80211.21489</v>
      </c>
      <c r="I75" s="361">
        <f t="shared" si="10"/>
        <v>13945.0685</v>
      </c>
      <c r="J75" s="362">
        <f>+H75+I75</f>
        <v>94156.28339</v>
      </c>
      <c r="K75" s="363">
        <f t="shared" si="20"/>
        <v>80211.21489</v>
      </c>
      <c r="L75" s="361">
        <f t="shared" si="20"/>
        <v>13945.0685</v>
      </c>
      <c r="M75" s="362">
        <f>+K75+L75</f>
        <v>94156.28339</v>
      </c>
      <c r="P75" s="154"/>
    </row>
    <row r="76" spans="2:16" ht="15.75">
      <c r="B76" s="482">
        <f t="shared" si="15"/>
        <v>2043</v>
      </c>
      <c r="C76" s="482"/>
      <c r="D76" s="167"/>
      <c r="E76" s="363">
        <f t="shared" si="8"/>
        <v>0</v>
      </c>
      <c r="F76" s="361">
        <f t="shared" si="8"/>
        <v>0</v>
      </c>
      <c r="G76" s="362">
        <f t="shared" si="19"/>
        <v>0</v>
      </c>
      <c r="H76" s="363">
        <f t="shared" si="10"/>
        <v>95035.20163</v>
      </c>
      <c r="I76" s="361">
        <f t="shared" si="10"/>
        <v>6406.64384</v>
      </c>
      <c r="J76" s="362">
        <f>+H76+I76</f>
        <v>101441.84547</v>
      </c>
      <c r="K76" s="363">
        <f t="shared" si="20"/>
        <v>95035.20163</v>
      </c>
      <c r="L76" s="361">
        <f t="shared" si="20"/>
        <v>6406.64384</v>
      </c>
      <c r="M76" s="362">
        <f>+K76+L76</f>
        <v>101441.84547</v>
      </c>
      <c r="P76" s="154"/>
    </row>
    <row r="77" spans="2:16" ht="8.25" customHeight="1">
      <c r="B77" s="155"/>
      <c r="C77" s="156"/>
      <c r="D77" s="168"/>
      <c r="E77" s="367"/>
      <c r="F77" s="368"/>
      <c r="G77" s="369"/>
      <c r="H77" s="367"/>
      <c r="I77" s="368"/>
      <c r="J77" s="369"/>
      <c r="K77" s="367"/>
      <c r="L77" s="368"/>
      <c r="M77" s="369"/>
      <c r="P77" s="154"/>
    </row>
    <row r="78" spans="2:16" ht="15" customHeight="1">
      <c r="B78" s="595" t="s">
        <v>14</v>
      </c>
      <c r="C78" s="596"/>
      <c r="D78" s="163"/>
      <c r="E78" s="589">
        <f aca="true" t="shared" si="21" ref="E78:M78">SUM(E57:E76)</f>
        <v>41953.81553</v>
      </c>
      <c r="F78" s="591">
        <f t="shared" si="21"/>
        <v>4877.522849999999</v>
      </c>
      <c r="G78" s="593">
        <f t="shared" si="21"/>
        <v>46831.33838</v>
      </c>
      <c r="H78" s="589">
        <f t="shared" si="21"/>
        <v>4153566.7287699995</v>
      </c>
      <c r="I78" s="591">
        <f t="shared" si="21"/>
        <v>1701642.2868300003</v>
      </c>
      <c r="J78" s="593">
        <f t="shared" si="21"/>
        <v>5855209.015600001</v>
      </c>
      <c r="K78" s="589">
        <f t="shared" si="21"/>
        <v>4195520.544299999</v>
      </c>
      <c r="L78" s="591">
        <f t="shared" si="21"/>
        <v>1706519.8096800002</v>
      </c>
      <c r="M78" s="593">
        <f t="shared" si="21"/>
        <v>5902040.353980001</v>
      </c>
      <c r="P78" s="154"/>
    </row>
    <row r="79" spans="2:16" ht="15" customHeight="1">
      <c r="B79" s="597"/>
      <c r="C79" s="598"/>
      <c r="D79" s="164"/>
      <c r="E79" s="590"/>
      <c r="F79" s="592"/>
      <c r="G79" s="594"/>
      <c r="H79" s="590"/>
      <c r="I79" s="592"/>
      <c r="J79" s="594"/>
      <c r="K79" s="590"/>
      <c r="L79" s="592"/>
      <c r="M79" s="594"/>
      <c r="P79" s="154"/>
    </row>
    <row r="80" ht="6.75" customHeight="1"/>
    <row r="81" spans="2:13" ht="15.75">
      <c r="B81" s="157" t="s">
        <v>112</v>
      </c>
      <c r="C81" s="158"/>
      <c r="D81" s="158"/>
      <c r="E81" s="144"/>
      <c r="F81" s="142"/>
      <c r="G81" s="144"/>
      <c r="H81" s="159"/>
      <c r="I81" s="145"/>
      <c r="J81" s="144"/>
      <c r="K81" s="144"/>
      <c r="L81" s="144"/>
      <c r="M81" s="144"/>
    </row>
    <row r="82" spans="2:13" ht="15">
      <c r="B82" s="157" t="s">
        <v>423</v>
      </c>
      <c r="C82" s="158"/>
      <c r="D82" s="158"/>
      <c r="E82" s="144"/>
      <c r="F82" s="142"/>
      <c r="G82" s="144"/>
      <c r="H82" s="159"/>
      <c r="I82" s="145"/>
      <c r="J82" s="144"/>
      <c r="K82" s="144"/>
      <c r="L82" s="144"/>
      <c r="M82" s="144"/>
    </row>
    <row r="83" spans="2:8" ht="15">
      <c r="B83" s="75" t="s">
        <v>424</v>
      </c>
      <c r="C83" s="158"/>
      <c r="D83" s="158"/>
      <c r="E83" s="144"/>
      <c r="F83" s="142"/>
      <c r="G83" s="144"/>
      <c r="H83" s="169"/>
    </row>
    <row r="84" spans="2:14" ht="15">
      <c r="B84" s="424"/>
      <c r="C84" s="422"/>
      <c r="D84" s="422"/>
      <c r="E84" s="436"/>
      <c r="F84" s="435"/>
      <c r="G84" s="435"/>
      <c r="H84" s="435"/>
      <c r="I84" s="435"/>
      <c r="J84" s="435"/>
      <c r="K84" s="435"/>
      <c r="L84" s="435"/>
      <c r="M84" s="435"/>
      <c r="N84" s="422"/>
    </row>
    <row r="85" spans="2:14" ht="15">
      <c r="B85" s="422"/>
      <c r="C85" s="422"/>
      <c r="D85" s="422"/>
      <c r="E85" s="437"/>
      <c r="F85" s="179"/>
      <c r="G85" s="179"/>
      <c r="H85" s="179"/>
      <c r="I85" s="179"/>
      <c r="J85" s="179"/>
      <c r="K85" s="179"/>
      <c r="L85" s="179"/>
      <c r="M85" s="179"/>
      <c r="N85" s="422"/>
    </row>
    <row r="86" spans="2:14" ht="15">
      <c r="B86" s="422"/>
      <c r="C86" s="422"/>
      <c r="D86" s="422"/>
      <c r="E86" s="438"/>
      <c r="F86" s="435"/>
      <c r="G86" s="435"/>
      <c r="H86" s="435"/>
      <c r="I86" s="435"/>
      <c r="J86" s="435"/>
      <c r="K86" s="435"/>
      <c r="L86" s="435"/>
      <c r="M86" s="435"/>
      <c r="N86" s="422"/>
    </row>
    <row r="87" spans="2:14" ht="15">
      <c r="B87" s="422"/>
      <c r="C87" s="422"/>
      <c r="D87" s="422"/>
      <c r="E87" s="439"/>
      <c r="F87" s="422"/>
      <c r="G87" s="435"/>
      <c r="H87" s="435"/>
      <c r="I87" s="440"/>
      <c r="J87" s="435"/>
      <c r="K87" s="435"/>
      <c r="L87" s="435"/>
      <c r="M87" s="435"/>
      <c r="N87" s="422"/>
    </row>
    <row r="88" spans="2:14" ht="15">
      <c r="B88" s="422"/>
      <c r="C88" s="422"/>
      <c r="D88" s="422"/>
      <c r="E88" s="438"/>
      <c r="F88" s="438"/>
      <c r="G88" s="438"/>
      <c r="H88" s="438"/>
      <c r="I88" s="438"/>
      <c r="J88" s="438"/>
      <c r="K88" s="438"/>
      <c r="L88" s="438"/>
      <c r="M88" s="438"/>
      <c r="N88" s="422"/>
    </row>
    <row r="89" spans="2:14" ht="15">
      <c r="B89" s="422"/>
      <c r="C89" s="422"/>
      <c r="D89" s="422"/>
      <c r="E89" s="435"/>
      <c r="F89" s="422"/>
      <c r="G89" s="435"/>
      <c r="H89" s="435"/>
      <c r="I89" s="440"/>
      <c r="J89" s="435"/>
      <c r="K89" s="435"/>
      <c r="L89" s="435"/>
      <c r="M89" s="435"/>
      <c r="N89" s="422"/>
    </row>
    <row r="90" spans="2:14" ht="15">
      <c r="B90" s="422"/>
      <c r="C90" s="422"/>
      <c r="D90" s="422"/>
      <c r="E90" s="435"/>
      <c r="F90" s="422"/>
      <c r="G90" s="435"/>
      <c r="H90" s="435"/>
      <c r="I90" s="440"/>
      <c r="J90" s="435"/>
      <c r="K90" s="435"/>
      <c r="L90" s="435"/>
      <c r="M90" s="435"/>
      <c r="N90" s="422"/>
    </row>
    <row r="91" spans="2:14" ht="15">
      <c r="B91" s="422"/>
      <c r="C91" s="422"/>
      <c r="D91" s="422"/>
      <c r="E91" s="435"/>
      <c r="F91" s="422"/>
      <c r="G91" s="435"/>
      <c r="H91" s="435"/>
      <c r="I91" s="440"/>
      <c r="J91" s="435"/>
      <c r="K91" s="435"/>
      <c r="L91" s="435"/>
      <c r="M91" s="435"/>
      <c r="N91" s="422"/>
    </row>
    <row r="92" spans="2:14" ht="15">
      <c r="B92" s="422"/>
      <c r="C92" s="422"/>
      <c r="D92" s="422"/>
      <c r="E92" s="435"/>
      <c r="F92" s="422"/>
      <c r="G92" s="435"/>
      <c r="H92" s="435"/>
      <c r="I92" s="440"/>
      <c r="J92" s="435"/>
      <c r="K92" s="435"/>
      <c r="L92" s="435"/>
      <c r="M92" s="435"/>
      <c r="N92" s="422"/>
    </row>
    <row r="93" spans="2:14" ht="15">
      <c r="B93" s="422"/>
      <c r="C93" s="422"/>
      <c r="D93" s="422"/>
      <c r="E93" s="435"/>
      <c r="F93" s="422"/>
      <c r="G93" s="435"/>
      <c r="H93" s="435"/>
      <c r="I93" s="440"/>
      <c r="J93" s="435"/>
      <c r="K93" s="435"/>
      <c r="L93" s="435"/>
      <c r="M93" s="435"/>
      <c r="N93" s="422"/>
    </row>
    <row r="94" spans="2:14" ht="15">
      <c r="B94" s="422"/>
      <c r="C94" s="422"/>
      <c r="D94" s="422"/>
      <c r="E94" s="435"/>
      <c r="F94" s="422"/>
      <c r="G94" s="435"/>
      <c r="H94" s="435"/>
      <c r="I94" s="440"/>
      <c r="J94" s="435"/>
      <c r="K94" s="435"/>
      <c r="L94" s="435"/>
      <c r="M94" s="435"/>
      <c r="N94" s="422"/>
    </row>
    <row r="95" spans="2:14" ht="15">
      <c r="B95" s="422"/>
      <c r="C95" s="422"/>
      <c r="D95" s="422"/>
      <c r="E95" s="435"/>
      <c r="F95" s="422"/>
      <c r="G95" s="435"/>
      <c r="H95" s="435"/>
      <c r="I95" s="440"/>
      <c r="J95" s="435"/>
      <c r="K95" s="435"/>
      <c r="L95" s="435"/>
      <c r="M95" s="435"/>
      <c r="N95" s="422"/>
    </row>
    <row r="96" spans="2:14" ht="15">
      <c r="B96" s="422"/>
      <c r="C96" s="422"/>
      <c r="D96" s="422"/>
      <c r="E96" s="435"/>
      <c r="F96" s="422"/>
      <c r="G96" s="435"/>
      <c r="H96" s="435"/>
      <c r="I96" s="440"/>
      <c r="J96" s="435"/>
      <c r="K96" s="435"/>
      <c r="L96" s="435"/>
      <c r="M96" s="435"/>
      <c r="N96" s="422"/>
    </row>
    <row r="97" spans="2:14" ht="15">
      <c r="B97" s="422"/>
      <c r="C97" s="422"/>
      <c r="D97" s="422"/>
      <c r="E97" s="435"/>
      <c r="F97" s="422"/>
      <c r="G97" s="435"/>
      <c r="H97" s="435"/>
      <c r="I97" s="440"/>
      <c r="J97" s="435"/>
      <c r="K97" s="435"/>
      <c r="L97" s="435"/>
      <c r="M97" s="435"/>
      <c r="N97" s="422"/>
    </row>
    <row r="98" spans="2:14" ht="15">
      <c r="B98" s="422"/>
      <c r="C98" s="422"/>
      <c r="D98" s="422"/>
      <c r="E98" s="435"/>
      <c r="F98" s="422"/>
      <c r="G98" s="435"/>
      <c r="H98" s="435"/>
      <c r="I98" s="440"/>
      <c r="J98" s="435"/>
      <c r="K98" s="435"/>
      <c r="L98" s="435"/>
      <c r="M98" s="435"/>
      <c r="N98" s="422"/>
    </row>
    <row r="99" spans="2:14" ht="15">
      <c r="B99" s="422"/>
      <c r="C99" s="422"/>
      <c r="D99" s="422"/>
      <c r="E99" s="435"/>
      <c r="F99" s="422"/>
      <c r="G99" s="435"/>
      <c r="H99" s="435"/>
      <c r="I99" s="440"/>
      <c r="J99" s="435"/>
      <c r="K99" s="435"/>
      <c r="L99" s="435"/>
      <c r="M99" s="435"/>
      <c r="N99" s="422"/>
    </row>
    <row r="100" spans="2:14" ht="15">
      <c r="B100" s="422"/>
      <c r="C100" s="422"/>
      <c r="D100" s="422"/>
      <c r="E100" s="435"/>
      <c r="F100" s="422"/>
      <c r="G100" s="435"/>
      <c r="H100" s="435"/>
      <c r="I100" s="440"/>
      <c r="J100" s="435"/>
      <c r="K100" s="435"/>
      <c r="L100" s="435"/>
      <c r="M100" s="435"/>
      <c r="N100" s="422"/>
    </row>
    <row r="101" spans="2:14" ht="15">
      <c r="B101" s="422"/>
      <c r="C101" s="422"/>
      <c r="D101" s="422"/>
      <c r="E101" s="435"/>
      <c r="F101" s="422"/>
      <c r="G101" s="435"/>
      <c r="H101" s="435"/>
      <c r="I101" s="440"/>
      <c r="J101" s="435"/>
      <c r="K101" s="435"/>
      <c r="L101" s="435"/>
      <c r="M101" s="435"/>
      <c r="N101" s="422"/>
    </row>
  </sheetData>
  <sheetProtection/>
  <mergeCells count="29">
    <mergeCell ref="B54:C55"/>
    <mergeCell ref="G36:G37"/>
    <mergeCell ref="J78:J79"/>
    <mergeCell ref="E12:G12"/>
    <mergeCell ref="H12:J12"/>
    <mergeCell ref="B12:C13"/>
    <mergeCell ref="B36:C37"/>
    <mergeCell ref="E36:E37"/>
    <mergeCell ref="F36:F37"/>
    <mergeCell ref="K12:M12"/>
    <mergeCell ref="H36:H37"/>
    <mergeCell ref="E54:G54"/>
    <mergeCell ref="H54:J54"/>
    <mergeCell ref="K54:M54"/>
    <mergeCell ref="I36:I37"/>
    <mergeCell ref="J36:J37"/>
    <mergeCell ref="K36:K37"/>
    <mergeCell ref="L36:L37"/>
    <mergeCell ref="M36:M37"/>
    <mergeCell ref="B5:D5"/>
    <mergeCell ref="K78:K79"/>
    <mergeCell ref="L78:L79"/>
    <mergeCell ref="M78:M79"/>
    <mergeCell ref="B78:C79"/>
    <mergeCell ref="E78:E79"/>
    <mergeCell ref="F78:F79"/>
    <mergeCell ref="G78:G79"/>
    <mergeCell ref="H78:H79"/>
    <mergeCell ref="I78:I79"/>
  </mergeCells>
  <hyperlinks>
    <hyperlink ref="M6" location="nuevo" display="Cuadro en nuevos soles"/>
  </hyperlinks>
  <printOptions/>
  <pageMargins left="0.2755905511811024" right="0.1968503937007874" top="0.44" bottom="0.15748031496062992" header="0.35433070866141736" footer="0.21"/>
  <pageSetup fitToHeight="1" fitToWidth="1" horizontalDpi="600" verticalDpi="600" orientation="landscape" paperSize="9" scale="90" r:id="rId2"/>
  <ignoredErrors>
    <ignoredError sqref="G57:G68 G69:G7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showGridLines="0" zoomScale="80" zoomScaleNormal="80" zoomScalePageLayoutView="0" workbookViewId="0" topLeftCell="A1">
      <selection activeCell="B6" sqref="B6:G6"/>
    </sheetView>
  </sheetViews>
  <sheetFormatPr defaultColWidth="11.421875" defaultRowHeight="15"/>
  <cols>
    <col min="1" max="1" width="4.140625" style="1" customWidth="1"/>
    <col min="2" max="2" width="18.00390625" style="1" customWidth="1"/>
    <col min="3" max="3" width="1.7109375" style="1" customWidth="1"/>
    <col min="4" max="4" width="21.140625" style="1" customWidth="1"/>
    <col min="5" max="5" width="20.421875" style="1" customWidth="1"/>
    <col min="6" max="6" width="20.57421875" style="1" customWidth="1"/>
    <col min="7" max="7" width="14.57421875" style="1" customWidth="1"/>
    <col min="8" max="9" width="11.421875" style="1" customWidth="1"/>
    <col min="10" max="10" width="10.28125" style="1" customWidth="1"/>
    <col min="11" max="16384" width="11.421875" style="1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1:7" ht="15">
      <c r="A4" s="4"/>
      <c r="B4" s="4"/>
      <c r="C4" s="4"/>
      <c r="D4" s="5"/>
      <c r="E4" s="4"/>
      <c r="F4" s="4"/>
      <c r="G4" s="4"/>
    </row>
    <row r="5" spans="1:7" ht="15">
      <c r="A5" s="4"/>
      <c r="B5" s="4"/>
      <c r="C5" s="4"/>
      <c r="D5" s="4"/>
      <c r="E5" s="4"/>
      <c r="F5" s="4"/>
      <c r="G5" s="4"/>
    </row>
    <row r="6" spans="1:7" ht="35.25" customHeight="1">
      <c r="A6" s="4"/>
      <c r="B6" s="506" t="s">
        <v>237</v>
      </c>
      <c r="C6" s="506"/>
      <c r="D6" s="506"/>
      <c r="E6" s="506"/>
      <c r="F6" s="506"/>
      <c r="G6" s="506"/>
    </row>
    <row r="7" spans="1:7" ht="15.75">
      <c r="A7" s="4"/>
      <c r="B7" s="507" t="str">
        <f>+Indice!B7</f>
        <v>AL 31 DE MARZO DE 2024</v>
      </c>
      <c r="C7" s="507"/>
      <c r="D7" s="507"/>
      <c r="E7" s="507"/>
      <c r="F7" s="507"/>
      <c r="G7" s="507"/>
    </row>
    <row r="8" spans="1:7" ht="18.75" customHeight="1">
      <c r="A8" s="6"/>
      <c r="B8" s="91"/>
      <c r="C8" s="91"/>
      <c r="D8" s="91"/>
      <c r="E8" s="91"/>
      <c r="F8" s="91"/>
      <c r="G8" s="91"/>
    </row>
    <row r="9" spans="1:7" ht="27.75" customHeight="1">
      <c r="A9" s="6"/>
      <c r="B9" s="253" t="s">
        <v>0</v>
      </c>
      <c r="C9" s="253" t="s">
        <v>1</v>
      </c>
      <c r="D9" s="511" t="s">
        <v>238</v>
      </c>
      <c r="E9" s="511"/>
      <c r="F9" s="511"/>
      <c r="G9" s="511"/>
    </row>
    <row r="10" spans="1:7" ht="58.5" customHeight="1">
      <c r="A10" s="6"/>
      <c r="B10" s="253"/>
      <c r="C10" s="253"/>
      <c r="D10" s="511" t="s">
        <v>114</v>
      </c>
      <c r="E10" s="511"/>
      <c r="F10" s="511"/>
      <c r="G10" s="511"/>
    </row>
    <row r="11" spans="1:7" ht="105" customHeight="1">
      <c r="A11" s="6"/>
      <c r="B11" s="253"/>
      <c r="C11" s="253"/>
      <c r="D11" s="512" t="s">
        <v>115</v>
      </c>
      <c r="E11" s="512"/>
      <c r="F11" s="512"/>
      <c r="G11" s="512"/>
    </row>
    <row r="12" spans="1:7" ht="9" customHeight="1">
      <c r="A12" s="6"/>
      <c r="B12" s="7"/>
      <c r="C12" s="7"/>
      <c r="D12" s="8"/>
      <c r="E12" s="8"/>
      <c r="F12" s="8"/>
      <c r="G12" s="8"/>
    </row>
    <row r="13" spans="1:7" ht="23.25" customHeight="1">
      <c r="A13" s="6"/>
      <c r="B13" s="9" t="s">
        <v>8</v>
      </c>
      <c r="C13" s="10" t="s">
        <v>1</v>
      </c>
      <c r="D13" s="513" t="s">
        <v>409</v>
      </c>
      <c r="E13" s="513"/>
      <c r="F13" s="513"/>
      <c r="G13" s="513"/>
    </row>
    <row r="14" spans="1:7" ht="9" customHeight="1">
      <c r="A14" s="6"/>
      <c r="B14" s="9"/>
      <c r="C14" s="10"/>
      <c r="D14" s="11"/>
      <c r="E14" s="11"/>
      <c r="F14" s="11"/>
      <c r="G14" s="11"/>
    </row>
    <row r="15" spans="1:7" ht="23.25" customHeight="1">
      <c r="A15" s="6"/>
      <c r="B15" s="10" t="s">
        <v>2</v>
      </c>
      <c r="C15" s="10" t="s">
        <v>1</v>
      </c>
      <c r="D15" s="12">
        <v>45382</v>
      </c>
      <c r="E15" s="6"/>
      <c r="F15" s="6"/>
      <c r="G15" s="6"/>
    </row>
    <row r="16" spans="1:7" ht="8.25" customHeight="1">
      <c r="A16" s="6"/>
      <c r="B16" s="10"/>
      <c r="C16" s="10"/>
      <c r="D16" s="12"/>
      <c r="E16" s="6"/>
      <c r="F16" s="6"/>
      <c r="G16" s="6"/>
    </row>
    <row r="17" spans="1:7" ht="24.75" customHeight="1">
      <c r="A17" s="6"/>
      <c r="B17" s="10" t="s">
        <v>9</v>
      </c>
      <c r="C17" s="10" t="s">
        <v>1</v>
      </c>
      <c r="D17" s="6" t="s">
        <v>3</v>
      </c>
      <c r="E17" s="6"/>
      <c r="F17" s="6"/>
      <c r="G17" s="6"/>
    </row>
    <row r="18" spans="1:7" ht="6.75" customHeight="1">
      <c r="A18" s="6"/>
      <c r="B18" s="10"/>
      <c r="C18" s="10"/>
      <c r="D18" s="6"/>
      <c r="E18" s="6"/>
      <c r="F18" s="6"/>
      <c r="G18" s="6"/>
    </row>
    <row r="19" spans="1:7" ht="14.25" customHeight="1">
      <c r="A19" s="6"/>
      <c r="B19" s="7" t="s">
        <v>4</v>
      </c>
      <c r="C19" s="7" t="s">
        <v>1</v>
      </c>
      <c r="D19" s="13" t="s">
        <v>61</v>
      </c>
      <c r="E19" s="13"/>
      <c r="F19" s="13"/>
      <c r="G19" s="13"/>
    </row>
    <row r="20" spans="1:7" ht="27.75" customHeight="1">
      <c r="A20" s="6"/>
      <c r="B20" s="7"/>
      <c r="C20" s="7"/>
      <c r="D20" s="515" t="s">
        <v>239</v>
      </c>
      <c r="E20" s="515"/>
      <c r="F20" s="515"/>
      <c r="G20" s="515"/>
    </row>
    <row r="21" spans="1:7" ht="15.75" customHeight="1">
      <c r="A21" s="6"/>
      <c r="B21" s="7"/>
      <c r="C21" s="7"/>
      <c r="D21" s="13" t="s">
        <v>72</v>
      </c>
      <c r="E21" s="13"/>
      <c r="F21" s="13"/>
      <c r="G21" s="13"/>
    </row>
    <row r="22" spans="1:7" ht="6.75" customHeight="1">
      <c r="A22" s="6"/>
      <c r="B22" s="7"/>
      <c r="C22" s="7"/>
      <c r="D22" s="13"/>
      <c r="E22" s="13"/>
      <c r="F22" s="13"/>
      <c r="G22" s="13"/>
    </row>
    <row r="23" spans="1:7" ht="15">
      <c r="A23" s="6"/>
      <c r="B23" s="10" t="s">
        <v>5</v>
      </c>
      <c r="C23" s="10" t="s">
        <v>1</v>
      </c>
      <c r="D23" s="6" t="s">
        <v>208</v>
      </c>
      <c r="E23" s="6"/>
      <c r="F23" s="6"/>
      <c r="G23" s="6"/>
    </row>
    <row r="24" spans="1:7" ht="16.5" customHeight="1">
      <c r="A24" s="6"/>
      <c r="B24" s="10"/>
      <c r="C24" s="10"/>
      <c r="D24" s="6" t="s">
        <v>209</v>
      </c>
      <c r="E24" s="6"/>
      <c r="F24" s="6"/>
      <c r="G24" s="6"/>
    </row>
    <row r="25" spans="1:7" ht="6" customHeight="1">
      <c r="A25" s="6"/>
      <c r="B25" s="10"/>
      <c r="C25" s="10"/>
      <c r="D25" s="6"/>
      <c r="E25" s="6"/>
      <c r="F25" s="6"/>
      <c r="G25" s="6"/>
    </row>
    <row r="26" spans="1:10" ht="15">
      <c r="A26" s="6"/>
      <c r="B26" s="10" t="s">
        <v>6</v>
      </c>
      <c r="C26" s="10" t="s">
        <v>1</v>
      </c>
      <c r="D26" s="376" t="s">
        <v>12</v>
      </c>
      <c r="E26" s="14"/>
      <c r="F26" s="14"/>
      <c r="G26" s="14"/>
      <c r="H26" s="14"/>
      <c r="I26" s="14"/>
      <c r="J26" s="2"/>
    </row>
    <row r="27" spans="1:7" ht="7.5" customHeight="1">
      <c r="A27" s="6"/>
      <c r="B27" s="10"/>
      <c r="C27" s="10"/>
      <c r="D27" s="6"/>
      <c r="E27" s="6"/>
      <c r="F27" s="6"/>
      <c r="G27" s="6"/>
    </row>
    <row r="28" spans="1:7" ht="20.25" customHeight="1">
      <c r="A28" s="6"/>
      <c r="B28" s="10" t="s">
        <v>7</v>
      </c>
      <c r="C28" s="10" t="s">
        <v>1</v>
      </c>
      <c r="D28" s="12">
        <v>45412</v>
      </c>
      <c r="E28" s="6"/>
      <c r="F28" s="6"/>
      <c r="G28" s="6"/>
    </row>
    <row r="29" spans="1:7" ht="7.5" customHeight="1">
      <c r="A29" s="6"/>
      <c r="B29" s="10"/>
      <c r="C29" s="10"/>
      <c r="D29" s="12"/>
      <c r="E29" s="6"/>
      <c r="F29" s="6"/>
      <c r="G29" s="6"/>
    </row>
    <row r="30" spans="2:7" ht="18" customHeight="1">
      <c r="B30" s="15" t="s">
        <v>10</v>
      </c>
      <c r="C30" s="16" t="s">
        <v>1</v>
      </c>
      <c r="D30" s="512" t="s">
        <v>73</v>
      </c>
      <c r="E30" s="512"/>
      <c r="F30" s="512"/>
      <c r="G30" s="512"/>
    </row>
    <row r="31" spans="2:7" ht="6" customHeight="1">
      <c r="B31" s="15"/>
      <c r="C31" s="16"/>
      <c r="D31" s="8"/>
      <c r="E31" s="8"/>
      <c r="F31" s="8"/>
      <c r="G31" s="8"/>
    </row>
    <row r="32" spans="2:7" ht="27.75" customHeight="1">
      <c r="B32" s="7" t="s">
        <v>23</v>
      </c>
      <c r="C32" s="7" t="s">
        <v>1</v>
      </c>
      <c r="D32" s="514" t="s">
        <v>127</v>
      </c>
      <c r="E32" s="514"/>
      <c r="F32" s="514"/>
      <c r="G32" s="514"/>
    </row>
    <row r="33" spans="4:7" ht="7.5" customHeight="1">
      <c r="D33" s="511"/>
      <c r="E33" s="511"/>
      <c r="F33" s="511"/>
      <c r="G33" s="511"/>
    </row>
    <row r="34" spans="2:9" ht="28.5" customHeight="1">
      <c r="B34" s="7" t="s">
        <v>11</v>
      </c>
      <c r="C34" s="7" t="s">
        <v>1</v>
      </c>
      <c r="D34" s="512" t="s">
        <v>133</v>
      </c>
      <c r="E34" s="512"/>
      <c r="F34" s="512"/>
      <c r="G34" s="512"/>
      <c r="I34" s="314">
        <v>3.721</v>
      </c>
    </row>
    <row r="35" spans="4:7" ht="15.75" customHeight="1">
      <c r="D35" s="511"/>
      <c r="E35" s="511"/>
      <c r="F35" s="511"/>
      <c r="G35" s="511"/>
    </row>
    <row r="36" spans="2:7" ht="15">
      <c r="B36" s="7" t="s">
        <v>59</v>
      </c>
      <c r="C36" s="7" t="s">
        <v>1</v>
      </c>
      <c r="D36" s="6" t="s">
        <v>60</v>
      </c>
      <c r="E36" s="6"/>
      <c r="F36" s="6"/>
      <c r="G36" s="6"/>
    </row>
    <row r="37" spans="4:7" ht="15">
      <c r="D37" s="511"/>
      <c r="E37" s="511"/>
      <c r="F37" s="511"/>
      <c r="G37" s="511"/>
    </row>
    <row r="38" spans="4:7" ht="15">
      <c r="D38" s="511"/>
      <c r="E38" s="511"/>
      <c r="F38" s="511"/>
      <c r="G38" s="511"/>
    </row>
    <row r="39" spans="4:7" ht="15">
      <c r="D39" s="511"/>
      <c r="E39" s="511"/>
      <c r="F39" s="511"/>
      <c r="G39" s="511"/>
    </row>
    <row r="40" spans="4:7" ht="15">
      <c r="D40" s="511"/>
      <c r="E40" s="511"/>
      <c r="F40" s="511"/>
      <c r="G40" s="511"/>
    </row>
    <row r="41" spans="4:7" ht="15">
      <c r="D41" s="511"/>
      <c r="E41" s="511"/>
      <c r="F41" s="511"/>
      <c r="G41" s="511"/>
    </row>
  </sheetData>
  <sheetProtection/>
  <mergeCells count="17">
    <mergeCell ref="D40:G40"/>
    <mergeCell ref="D34:G34"/>
    <mergeCell ref="D20:G20"/>
    <mergeCell ref="D41:G41"/>
    <mergeCell ref="D33:G33"/>
    <mergeCell ref="D35:G35"/>
    <mergeCell ref="D37:G37"/>
    <mergeCell ref="B6:G6"/>
    <mergeCell ref="B7:G7"/>
    <mergeCell ref="D9:G9"/>
    <mergeCell ref="D39:G39"/>
    <mergeCell ref="D10:G10"/>
    <mergeCell ref="D11:G11"/>
    <mergeCell ref="D38:G38"/>
    <mergeCell ref="D13:G13"/>
    <mergeCell ref="D30:G30"/>
    <mergeCell ref="D32:G32"/>
  </mergeCells>
  <hyperlinks>
    <hyperlink ref="D26" r:id="rId1" display="http://www.mef.gob.pe/index.php?option=com_content&amp;view=article&amp;id=2031&amp;Itemid=101432&amp;lang=es"/>
  </hyperlinks>
  <printOptions/>
  <pageMargins left="1.13" right="0.7086614173228347" top="0.9448818897637796" bottom="0.7480314960629921" header="0.31496062992125984" footer="0.31496062992125984"/>
  <pageSetup horizontalDpi="600" verticalDpi="600" orientation="portrait" paperSize="9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showGridLines="0" zoomScale="85" zoomScaleNormal="85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17" customWidth="1"/>
    <col min="2" max="2" width="26.421875" style="117" customWidth="1"/>
    <col min="3" max="5" width="16.7109375" style="117" customWidth="1"/>
    <col min="6" max="6" width="4.28125" style="117" customWidth="1"/>
    <col min="7" max="7" width="33.57421875" style="117" customWidth="1"/>
    <col min="8" max="10" width="16.7109375" style="117" customWidth="1"/>
    <col min="11" max="11" width="0.71875" style="117" customWidth="1"/>
    <col min="12" max="12" width="10.8515625" style="117" customWidth="1"/>
    <col min="13" max="13" width="11.421875" style="117" customWidth="1"/>
    <col min="14" max="14" width="15.7109375" style="224" customWidth="1"/>
    <col min="15" max="15" width="15.7109375" style="53" customWidth="1"/>
    <col min="16" max="16384" width="15.7109375" style="52" customWidth="1"/>
  </cols>
  <sheetData>
    <row r="1" spans="14:15" s="4" customFormat="1" ht="15.75" customHeight="1">
      <c r="N1" s="51"/>
      <c r="O1" s="51"/>
    </row>
    <row r="2" spans="4:15" s="4" customFormat="1" ht="15.75" customHeight="1">
      <c r="D2" s="5"/>
      <c r="N2" s="51"/>
      <c r="O2" s="51"/>
    </row>
    <row r="3" spans="4:15" s="4" customFormat="1" ht="15.75" customHeight="1">
      <c r="D3" s="5"/>
      <c r="N3" s="51"/>
      <c r="O3" s="51"/>
    </row>
    <row r="4" spans="1:15" s="1" customFormat="1" ht="18" customHeight="1">
      <c r="A4" s="4"/>
      <c r="B4" s="131"/>
      <c r="C4" s="131"/>
      <c r="D4" s="131"/>
      <c r="E4" s="131"/>
      <c r="F4" s="131"/>
      <c r="G4" s="131"/>
      <c r="H4" s="218"/>
      <c r="I4" s="218"/>
      <c r="J4" s="218"/>
      <c r="K4" s="218"/>
      <c r="L4" s="218"/>
      <c r="M4" s="218"/>
      <c r="N4" s="127"/>
      <c r="O4" s="29"/>
    </row>
    <row r="5" spans="1:15" s="1" customFormat="1" ht="19.5" customHeight="1">
      <c r="A5" s="4"/>
      <c r="B5" s="506" t="s">
        <v>167</v>
      </c>
      <c r="C5" s="506"/>
      <c r="D5" s="506"/>
      <c r="E5" s="506"/>
      <c r="F5" s="506"/>
      <c r="G5" s="506"/>
      <c r="H5" s="506"/>
      <c r="I5" s="506"/>
      <c r="J5" s="506"/>
      <c r="K5" s="218"/>
      <c r="L5" s="218"/>
      <c r="M5" s="218"/>
      <c r="N5" s="127"/>
      <c r="O5" s="29"/>
    </row>
    <row r="6" spans="1:15" s="1" customFormat="1" ht="19.5" customHeight="1">
      <c r="A6" s="4"/>
      <c r="B6" s="521" t="s">
        <v>237</v>
      </c>
      <c r="C6" s="521"/>
      <c r="D6" s="521"/>
      <c r="E6" s="521"/>
      <c r="F6" s="521"/>
      <c r="G6" s="521"/>
      <c r="H6" s="521"/>
      <c r="I6" s="521"/>
      <c r="J6" s="521"/>
      <c r="K6" s="218"/>
      <c r="L6" s="218"/>
      <c r="M6" s="218"/>
      <c r="N6" s="127"/>
      <c r="O6" s="29"/>
    </row>
    <row r="7" spans="1:15" s="1" customFormat="1" ht="18" customHeight="1">
      <c r="A7" s="4"/>
      <c r="B7" s="517" t="str">
        <f>+Indice!B7</f>
        <v>AL 31 DE MARZO DE 2024</v>
      </c>
      <c r="C7" s="517"/>
      <c r="D7" s="517"/>
      <c r="E7" s="517"/>
      <c r="F7" s="517"/>
      <c r="G7" s="517"/>
      <c r="H7" s="517"/>
      <c r="I7" s="517"/>
      <c r="J7" s="517"/>
      <c r="K7" s="218"/>
      <c r="L7" s="218"/>
      <c r="M7" s="218"/>
      <c r="N7" s="127"/>
      <c r="O7" s="29"/>
    </row>
    <row r="8" spans="1:15" s="1" customFormat="1" ht="19.5" customHeight="1">
      <c r="A8" s="4"/>
      <c r="B8" s="516"/>
      <c r="C8" s="516"/>
      <c r="D8" s="516"/>
      <c r="E8" s="516"/>
      <c r="F8" s="516"/>
      <c r="G8" s="268"/>
      <c r="H8" s="268"/>
      <c r="I8" s="268"/>
      <c r="J8" s="268"/>
      <c r="K8" s="218"/>
      <c r="L8" s="218"/>
      <c r="M8" s="218"/>
      <c r="N8" s="127"/>
      <c r="O8" s="29"/>
    </row>
    <row r="9" spans="1:15" s="1" customFormat="1" ht="15.75">
      <c r="A9" s="4"/>
      <c r="B9" s="375" t="s">
        <v>128</v>
      </c>
      <c r="C9" s="375"/>
      <c r="D9" s="375"/>
      <c r="E9" s="375"/>
      <c r="F9" s="375"/>
      <c r="G9" s="375"/>
      <c r="H9" s="375"/>
      <c r="I9" s="375"/>
      <c r="J9" s="375"/>
      <c r="K9" s="218"/>
      <c r="L9" s="218"/>
      <c r="M9" s="218"/>
      <c r="N9" s="127"/>
      <c r="O9" s="29"/>
    </row>
    <row r="10" spans="1:15" s="1" customFormat="1" ht="12" customHeight="1">
      <c r="A10" s="6"/>
      <c r="B10" s="63"/>
      <c r="C10" s="91"/>
      <c r="D10" s="91"/>
      <c r="E10" s="91"/>
      <c r="F10" s="91"/>
      <c r="G10" s="91"/>
      <c r="H10" s="63"/>
      <c r="I10" s="63"/>
      <c r="J10" s="63"/>
      <c r="K10" s="218"/>
      <c r="L10" s="218"/>
      <c r="M10" s="218"/>
      <c r="N10" s="127"/>
      <c r="O10" s="29"/>
    </row>
    <row r="11" spans="2:14" ht="19.5" customHeight="1">
      <c r="B11" s="518" t="s">
        <v>24</v>
      </c>
      <c r="C11" s="519"/>
      <c r="D11" s="519"/>
      <c r="E11" s="520"/>
      <c r="F11" s="116"/>
      <c r="G11" s="518" t="s">
        <v>25</v>
      </c>
      <c r="H11" s="519"/>
      <c r="I11" s="519"/>
      <c r="J11" s="520"/>
      <c r="N11" s="257"/>
    </row>
    <row r="12" spans="2:13" ht="19.5" customHeight="1">
      <c r="B12" s="118"/>
      <c r="C12" s="374" t="s">
        <v>13</v>
      </c>
      <c r="D12" s="374" t="s">
        <v>129</v>
      </c>
      <c r="E12" s="377" t="s">
        <v>26</v>
      </c>
      <c r="F12" s="119"/>
      <c r="G12" s="120"/>
      <c r="H12" s="374" t="s">
        <v>13</v>
      </c>
      <c r="I12" s="374" t="s">
        <v>129</v>
      </c>
      <c r="J12" s="377" t="s">
        <v>26</v>
      </c>
      <c r="M12" s="205"/>
    </row>
    <row r="13" spans="2:10" ht="19.5" customHeight="1">
      <c r="B13" s="121" t="s">
        <v>29</v>
      </c>
      <c r="C13" s="372">
        <f>('DGRGL-C1'!C18+'DGRGL-C1'!C46)/1000</f>
        <v>983.36656596</v>
      </c>
      <c r="D13" s="372">
        <f>('DGRGL-C1'!D18+'DGRGL-C1'!D46)/1000</f>
        <v>3659.1069919399997</v>
      </c>
      <c r="E13" s="444">
        <f>+D13/$D$15</f>
        <v>0.9886643809133524</v>
      </c>
      <c r="F13" s="122"/>
      <c r="G13" s="121" t="s">
        <v>30</v>
      </c>
      <c r="H13" s="370">
        <f>(+'DGRGL-C3'!C18+'DGRGL-C3'!C44)/1000</f>
        <v>670.80376444</v>
      </c>
      <c r="I13" s="370">
        <f>(+'DGRGL-C3'!D18+'DGRGL-C3'!D44)/1000</f>
        <v>2496.0608074799998</v>
      </c>
      <c r="J13" s="444">
        <f>+I13/$I$15</f>
        <v>0.6744176703187992</v>
      </c>
    </row>
    <row r="14" spans="2:14" ht="19.5" customHeight="1">
      <c r="B14" s="121" t="s">
        <v>27</v>
      </c>
      <c r="C14" s="372">
        <f>+'DGRGL-C1'!C15/1000</f>
        <v>11.27487652</v>
      </c>
      <c r="D14" s="372">
        <f>+'DGRGL-C1'!D15/1000</f>
        <v>41.95381553</v>
      </c>
      <c r="E14" s="444">
        <f>+D14/$D$15</f>
        <v>0.011335619086647517</v>
      </c>
      <c r="F14" s="122"/>
      <c r="G14" s="121" t="s">
        <v>28</v>
      </c>
      <c r="H14" s="370">
        <f>(+'DGRGL-C3'!C15+'DGRGL-C3'!C42)/1000</f>
        <v>323.83767804</v>
      </c>
      <c r="I14" s="370">
        <f>(+'DGRGL-C3'!D15+'DGRGL-C3'!D42)/1000</f>
        <v>1204.99999998684</v>
      </c>
      <c r="J14" s="444">
        <f>+I14/$I$15</f>
        <v>0.3255823296812008</v>
      </c>
      <c r="N14" s="225"/>
    </row>
    <row r="15" spans="2:10" ht="19.5" customHeight="1">
      <c r="B15" s="123" t="s">
        <v>31</v>
      </c>
      <c r="C15" s="373">
        <f>+C14+C13</f>
        <v>994.64144248</v>
      </c>
      <c r="D15" s="373">
        <f>+D14+D13</f>
        <v>3701.06080747</v>
      </c>
      <c r="E15" s="445">
        <f>SUM(E13:E14)</f>
        <v>0.9999999999999999</v>
      </c>
      <c r="F15" s="124"/>
      <c r="G15" s="123" t="s">
        <v>31</v>
      </c>
      <c r="H15" s="371">
        <f>+H14+H13</f>
        <v>994.64144248</v>
      </c>
      <c r="I15" s="371">
        <f>+I14+I13</f>
        <v>3701.06080746684</v>
      </c>
      <c r="J15" s="445">
        <f>SUM(J13:J14)</f>
        <v>1</v>
      </c>
    </row>
    <row r="16" spans="2:10" ht="19.5" customHeight="1">
      <c r="B16" s="171"/>
      <c r="C16" s="185"/>
      <c r="D16" s="226"/>
      <c r="E16" s="124"/>
      <c r="F16" s="124"/>
      <c r="G16" s="286"/>
      <c r="H16" s="287">
        <f>+H15-C15</f>
        <v>0</v>
      </c>
      <c r="I16" s="288">
        <f>+I15-D15</f>
        <v>-3.160039341310039E-09</v>
      </c>
      <c r="J16" s="124"/>
    </row>
    <row r="17" spans="3:4" ht="19.5" customHeight="1">
      <c r="C17" s="227"/>
      <c r="D17" s="228"/>
    </row>
    <row r="18" spans="2:10" ht="19.5" customHeight="1">
      <c r="B18" s="518" t="s">
        <v>32</v>
      </c>
      <c r="C18" s="519"/>
      <c r="D18" s="519"/>
      <c r="E18" s="520"/>
      <c r="F18" s="116"/>
      <c r="G18" s="518" t="s">
        <v>71</v>
      </c>
      <c r="H18" s="519"/>
      <c r="I18" s="519"/>
      <c r="J18" s="520"/>
    </row>
    <row r="19" spans="2:15" ht="19.5" customHeight="1">
      <c r="B19" s="120"/>
      <c r="C19" s="374" t="s">
        <v>13</v>
      </c>
      <c r="D19" s="374" t="s">
        <v>129</v>
      </c>
      <c r="E19" s="377" t="s">
        <v>26</v>
      </c>
      <c r="F19" s="119"/>
      <c r="G19" s="229"/>
      <c r="H19" s="374" t="s">
        <v>13</v>
      </c>
      <c r="I19" s="374" t="s">
        <v>129</v>
      </c>
      <c r="J19" s="380" t="s">
        <v>26</v>
      </c>
      <c r="M19" s="230"/>
      <c r="N19" s="230"/>
      <c r="O19" s="54"/>
    </row>
    <row r="20" spans="2:15" ht="19.5" customHeight="1">
      <c r="B20" s="121" t="s">
        <v>86</v>
      </c>
      <c r="C20" s="372">
        <f>('DGRGL-C2'!C15+'DGRGL-C2'!C20)/1000</f>
        <v>374.43120161</v>
      </c>
      <c r="D20" s="372">
        <f>('DGRGL-C2'!D15+'DGRGL-C2'!D20)/1000</f>
        <v>1393.25850119</v>
      </c>
      <c r="E20" s="444">
        <f>+D20/$D$23</f>
        <v>0.3764484221329004</v>
      </c>
      <c r="F20" s="122"/>
      <c r="G20" s="389" t="s">
        <v>160</v>
      </c>
      <c r="H20" s="378">
        <f>(+'DGRGL-C5'!C19+'DGRGL-C5'!C46+'DGRGL-C5'!C59)/1000</f>
        <v>578.38040353</v>
      </c>
      <c r="I20" s="378">
        <f>(+'DGRGL-C5'!D19+'DGRGL-C5'!D46+'DGRGL-C5'!D59)/1000</f>
        <v>2152.15348154</v>
      </c>
      <c r="J20" s="446">
        <f aca="true" t="shared" si="0" ref="J20:J28">+I20/$I$29</f>
        <v>0.5814963853580593</v>
      </c>
      <c r="M20" s="230"/>
      <c r="N20" s="230"/>
      <c r="O20" s="54"/>
    </row>
    <row r="21" spans="2:15" ht="19.5" customHeight="1">
      <c r="B21" s="121" t="s">
        <v>85</v>
      </c>
      <c r="C21" s="372">
        <f>('DGRGL-C2'!C16+'DGRGL-C2'!C21)/1000</f>
        <v>604.3592842700001</v>
      </c>
      <c r="D21" s="372">
        <f>('DGRGL-C2'!D16+'DGRGL-C2'!D21)/1000</f>
        <v>2248.82089677</v>
      </c>
      <c r="E21" s="444">
        <f>+D21/$D$23</f>
        <v>0.6076152254054066</v>
      </c>
      <c r="F21" s="122"/>
      <c r="G21" s="389" t="s">
        <v>408</v>
      </c>
      <c r="H21" s="378">
        <f>+'DGRGL-C5'!C33/1000</f>
        <v>323.83767804</v>
      </c>
      <c r="I21" s="378">
        <f>+'DGRGL-C5'!D33/1000</f>
        <v>1204.9999999899999</v>
      </c>
      <c r="J21" s="446">
        <f t="shared" si="0"/>
        <v>0.3255823296808969</v>
      </c>
      <c r="M21" s="232"/>
      <c r="N21" s="233"/>
      <c r="O21" s="54"/>
    </row>
    <row r="22" spans="2:15" ht="19.5" customHeight="1">
      <c r="B22" s="121" t="s">
        <v>233</v>
      </c>
      <c r="C22" s="372">
        <f>('DGRGL-C2'!C17+'DGRGL-C2'!C22)/1000</f>
        <v>15.8509566</v>
      </c>
      <c r="D22" s="372">
        <f>('DGRGL-C2'!D17+'DGRGL-C2'!D22)/1000</f>
        <v>58.98140951</v>
      </c>
      <c r="E22" s="444">
        <f>+D22/$D$23</f>
        <v>0.015936352461692994</v>
      </c>
      <c r="F22" s="124"/>
      <c r="G22" s="389" t="s">
        <v>147</v>
      </c>
      <c r="H22" s="378">
        <f>(+'DGRGL-C5'!C43+'DGRGL-C5'!C103)/1000</f>
        <v>36.33308843</v>
      </c>
      <c r="I22" s="378">
        <f>(+'DGRGL-C5'!D43+'DGRGL-C5'!D103)/1000</f>
        <v>135.19542205</v>
      </c>
      <c r="J22" s="446">
        <f t="shared" si="0"/>
        <v>0.03652883026854472</v>
      </c>
      <c r="M22" s="234"/>
      <c r="N22" s="230"/>
      <c r="O22" s="54"/>
    </row>
    <row r="23" spans="2:15" ht="19.5" customHeight="1">
      <c r="B23" s="123" t="s">
        <v>31</v>
      </c>
      <c r="C23" s="373">
        <f>+C21+C20+C22</f>
        <v>994.6414424800001</v>
      </c>
      <c r="D23" s="373">
        <f>+D21+D20+D22</f>
        <v>3701.0608074700003</v>
      </c>
      <c r="E23" s="445">
        <f>+E21+E20+E22</f>
        <v>1</v>
      </c>
      <c r="F23" s="124"/>
      <c r="G23" s="389" t="s">
        <v>248</v>
      </c>
      <c r="H23" s="378">
        <f>(+'DGRGL-C5'!C36)/1000</f>
        <v>31.69453859</v>
      </c>
      <c r="I23" s="378">
        <f>(+'DGRGL-C5'!D36)/1000</f>
        <v>117.93537809</v>
      </c>
      <c r="J23" s="446">
        <f t="shared" si="0"/>
        <v>0.031865290581459135</v>
      </c>
      <c r="M23" s="230"/>
      <c r="N23" s="230"/>
      <c r="O23" s="54"/>
    </row>
    <row r="24" spans="3:15" ht="19.5" customHeight="1">
      <c r="C24" s="289"/>
      <c r="D24" s="478"/>
      <c r="E24" s="290"/>
      <c r="F24" s="124"/>
      <c r="G24" s="389" t="s">
        <v>210</v>
      </c>
      <c r="H24" s="378">
        <f>+'DGRGL-C5'!C37/1000</f>
        <v>12.410052630000001</v>
      </c>
      <c r="I24" s="378">
        <f>+'DGRGL-C5'!D37/1000</f>
        <v>46.17780584</v>
      </c>
      <c r="J24" s="446">
        <f t="shared" si="0"/>
        <v>0.012476910875571864</v>
      </c>
      <c r="M24" s="230"/>
      <c r="N24" s="230"/>
      <c r="O24" s="54"/>
    </row>
    <row r="25" spans="3:15" ht="25.5">
      <c r="C25" s="289"/>
      <c r="D25" s="478"/>
      <c r="E25" s="290"/>
      <c r="F25" s="124"/>
      <c r="G25" s="231" t="s">
        <v>161</v>
      </c>
      <c r="H25" s="378">
        <f>+'DGRGL-C5'!C28/1000</f>
        <v>11.27487652</v>
      </c>
      <c r="I25" s="378">
        <f>+'DGRGL-C5'!D28/1000</f>
        <v>41.95381553</v>
      </c>
      <c r="J25" s="446">
        <f t="shared" si="0"/>
        <v>0.011335619086616887</v>
      </c>
      <c r="M25" s="230"/>
      <c r="N25" s="230"/>
      <c r="O25" s="54"/>
    </row>
    <row r="26" spans="2:15" ht="19.5" customHeight="1">
      <c r="B26" s="522" t="s">
        <v>33</v>
      </c>
      <c r="C26" s="523"/>
      <c r="D26" s="523"/>
      <c r="E26" s="524"/>
      <c r="F26" s="124"/>
      <c r="G26" s="389" t="s">
        <v>152</v>
      </c>
      <c r="H26" s="378">
        <f>(+'DGRGL-C5'!C38+'DGRGL-C5'!C98)/1000</f>
        <v>0.68003535</v>
      </c>
      <c r="I26" s="378">
        <f>(+'DGRGL-C5'!D38+'DGRGL-C5'!D98)/1000</f>
        <v>2.5304115400000002</v>
      </c>
      <c r="J26" s="446">
        <f t="shared" si="0"/>
        <v>0.0006836989910800524</v>
      </c>
      <c r="M26" s="230"/>
      <c r="N26" s="230"/>
      <c r="O26" s="54"/>
    </row>
    <row r="27" spans="2:16" ht="19.5" customHeight="1">
      <c r="B27" s="120"/>
      <c r="C27" s="374" t="s">
        <v>13</v>
      </c>
      <c r="D27" s="374" t="s">
        <v>129</v>
      </c>
      <c r="E27" s="377" t="s">
        <v>26</v>
      </c>
      <c r="F27" s="116"/>
      <c r="G27" s="389" t="s">
        <v>198</v>
      </c>
      <c r="H27" s="378">
        <f>+'DGRGL-C5'!C40/1000</f>
        <v>0.029856670000000002</v>
      </c>
      <c r="I27" s="378">
        <f>+'DGRGL-C5'!D40/1000</f>
        <v>0.11109667000000001</v>
      </c>
      <c r="J27" s="446">
        <f t="shared" si="0"/>
        <v>3.0017520861983394E-05</v>
      </c>
      <c r="M27" s="232"/>
      <c r="N27" s="230"/>
      <c r="O27" s="54"/>
      <c r="P27" s="55"/>
    </row>
    <row r="28" spans="2:16" ht="19.5" customHeight="1">
      <c r="B28" s="121" t="s">
        <v>240</v>
      </c>
      <c r="C28" s="370">
        <f>(+'DGRGL-C5'!C19+'DGRGL-C5'!C46+'DGRGL-C5'!C58)/1000</f>
        <v>578.38040353</v>
      </c>
      <c r="D28" s="370">
        <f>('DGRGL-C5'!D19+'DGRGL-C5'!D46+'DGRGL-C5'!D58)/1000</f>
        <v>2152.15348154</v>
      </c>
      <c r="E28" s="444">
        <f>+C28/$C$32</f>
        <v>0.5814963853586161</v>
      </c>
      <c r="F28" s="119"/>
      <c r="G28" s="389" t="s">
        <v>250</v>
      </c>
      <c r="H28" s="378">
        <f>(+'DGRGL-C5'!C39+'DGRGL-C5'!C99)/1000</f>
        <v>0.0009127200000000001</v>
      </c>
      <c r="I28" s="378">
        <f>(+'DGRGL-C5'!D39+'DGRGL-C5'!D99)/1000</f>
        <v>0.00339623</v>
      </c>
      <c r="J28" s="446">
        <f t="shared" si="0"/>
        <v>9.176369091629285E-07</v>
      </c>
      <c r="M28" s="230"/>
      <c r="N28" s="235"/>
      <c r="O28" s="97"/>
      <c r="P28" s="55"/>
    </row>
    <row r="29" spans="2:16" ht="19.5" customHeight="1">
      <c r="B29" s="121" t="s">
        <v>63</v>
      </c>
      <c r="C29" s="370">
        <f>(+'DGRGL-C5'!C35+'DGRGL-C5'!C42+'DGRGL-C5'!C97+'DGRGL-C5'!C102)/1000</f>
        <v>81.14848439</v>
      </c>
      <c r="D29" s="370">
        <f>(+'DGRGL-C5'!D35+'DGRGL-C5'!D42+'DGRGL-C5'!D97+'DGRGL-C5'!D102)/1000</f>
        <v>301.95351042</v>
      </c>
      <c r="E29" s="444">
        <f>+C29/$C$32</f>
        <v>0.08158566587339006</v>
      </c>
      <c r="F29" s="122"/>
      <c r="G29" s="123" t="s">
        <v>31</v>
      </c>
      <c r="H29" s="379">
        <f>SUM(H20:H28)</f>
        <v>994.6414424799999</v>
      </c>
      <c r="I29" s="379">
        <f>SUM(I20:I28)</f>
        <v>3701.06080748</v>
      </c>
      <c r="J29" s="447">
        <f>SUM(J20:J28)</f>
        <v>0.9999999999999998</v>
      </c>
      <c r="M29" s="236"/>
      <c r="N29" s="237"/>
      <c r="O29" s="54"/>
      <c r="P29" s="55"/>
    </row>
    <row r="30" spans="2:16" ht="19.5" customHeight="1">
      <c r="B30" s="121" t="s">
        <v>51</v>
      </c>
      <c r="C30" s="370">
        <f>(+'DGRGL-C5'!C27)/1000</f>
        <v>11.27487652</v>
      </c>
      <c r="D30" s="370">
        <f>(+'DGRGL-C5'!D27)/1000</f>
        <v>41.95381553</v>
      </c>
      <c r="E30" s="444">
        <f>+C30/$C$32</f>
        <v>0.011335619086901973</v>
      </c>
      <c r="F30" s="122"/>
      <c r="G30" s="117" t="s">
        <v>162</v>
      </c>
      <c r="H30" s="502"/>
      <c r="I30" s="502"/>
      <c r="J30" s="503"/>
      <c r="M30" s="236"/>
      <c r="N30" s="237"/>
      <c r="O30" s="54"/>
      <c r="P30" s="55"/>
    </row>
    <row r="31" spans="2:16" ht="19.5" customHeight="1">
      <c r="B31" s="121" t="s">
        <v>408</v>
      </c>
      <c r="C31" s="370">
        <f>(+'DGRGL-C5'!C33)/1000</f>
        <v>323.83767804</v>
      </c>
      <c r="D31" s="370">
        <f>(+'DGRGL-C5'!D33)/1000</f>
        <v>1204.9999999899999</v>
      </c>
      <c r="E31" s="444">
        <f>+C31/$C$32</f>
        <v>0.32558232968109174</v>
      </c>
      <c r="F31" s="122"/>
      <c r="G31" s="117" t="s">
        <v>163</v>
      </c>
      <c r="L31" s="230"/>
      <c r="M31" s="238"/>
      <c r="N31" s="230"/>
      <c r="O31" s="54"/>
      <c r="P31" s="55"/>
    </row>
    <row r="32" spans="2:16" ht="19.5" customHeight="1">
      <c r="B32" s="123" t="s">
        <v>31</v>
      </c>
      <c r="C32" s="371">
        <f>+C28+C29+C30+C31</f>
        <v>994.64144248</v>
      </c>
      <c r="D32" s="371">
        <f>+D28+D29+D30+D31</f>
        <v>3701.06080748</v>
      </c>
      <c r="E32" s="445">
        <f>+E28+E29+E30+E31</f>
        <v>0.9999999999999998</v>
      </c>
      <c r="F32" s="122"/>
      <c r="H32" s="459"/>
      <c r="I32" s="459"/>
      <c r="M32" s="238"/>
      <c r="N32" s="230"/>
      <c r="O32" s="54"/>
      <c r="P32" s="55"/>
    </row>
    <row r="33" spans="2:16" ht="19.5" customHeight="1">
      <c r="B33" s="117" t="s">
        <v>241</v>
      </c>
      <c r="C33" s="477"/>
      <c r="D33" s="479"/>
      <c r="E33" s="52"/>
      <c r="F33" s="122"/>
      <c r="L33" s="230"/>
      <c r="M33" s="238"/>
      <c r="N33" s="230"/>
      <c r="O33" s="54"/>
      <c r="P33" s="55"/>
    </row>
    <row r="34" spans="6:16" ht="19.5" customHeight="1">
      <c r="F34" s="124"/>
      <c r="L34" s="230"/>
      <c r="M34" s="238"/>
      <c r="N34" s="230"/>
      <c r="O34" s="54"/>
      <c r="P34" s="55"/>
    </row>
    <row r="35" spans="2:16" ht="19.5" customHeight="1">
      <c r="B35" s="522" t="s">
        <v>23</v>
      </c>
      <c r="C35" s="523"/>
      <c r="D35" s="523"/>
      <c r="E35" s="524"/>
      <c r="F35" s="239"/>
      <c r="L35" s="230"/>
      <c r="M35" s="240"/>
      <c r="N35" s="230"/>
      <c r="O35" s="54"/>
      <c r="P35" s="55"/>
    </row>
    <row r="36" spans="2:16" ht="19.5" customHeight="1">
      <c r="B36" s="120"/>
      <c r="C36" s="374" t="s">
        <v>13</v>
      </c>
      <c r="D36" s="374" t="s">
        <v>129</v>
      </c>
      <c r="E36" s="377" t="s">
        <v>26</v>
      </c>
      <c r="F36" s="116"/>
      <c r="G36" s="522" t="s">
        <v>62</v>
      </c>
      <c r="H36" s="523"/>
      <c r="I36" s="523"/>
      <c r="J36" s="524"/>
      <c r="L36" s="238"/>
      <c r="M36" s="241"/>
      <c r="N36" s="241"/>
      <c r="O36" s="54"/>
      <c r="P36" s="55"/>
    </row>
    <row r="37" spans="2:16" ht="19.5" customHeight="1">
      <c r="B37" s="121" t="s">
        <v>129</v>
      </c>
      <c r="C37" s="370">
        <f>(+'DGRGL-C4'!C15+'DGRGL-C4'!C58)/1000</f>
        <v>810.7686218000001</v>
      </c>
      <c r="D37" s="370">
        <f>(+'DGRGL-C4'!D15+'DGRGL-C4'!D58)/1000</f>
        <v>3016.8700417180803</v>
      </c>
      <c r="E37" s="444">
        <f>+D37/$D$41</f>
        <v>0.8151365780401594</v>
      </c>
      <c r="F37" s="119"/>
      <c r="G37" s="118"/>
      <c r="H37" s="525" t="s">
        <v>13</v>
      </c>
      <c r="I37" s="525"/>
      <c r="J37" s="526"/>
      <c r="L37" s="238"/>
      <c r="M37" s="241"/>
      <c r="N37" s="241"/>
      <c r="O37" s="54"/>
      <c r="P37" s="55"/>
    </row>
    <row r="38" spans="2:16" ht="19.5" customHeight="1">
      <c r="B38" s="121" t="s">
        <v>34</v>
      </c>
      <c r="C38" s="370">
        <f>(+'DGRGL-C4'!C29)/1000</f>
        <v>171.60781311999997</v>
      </c>
      <c r="D38" s="370">
        <f>(+'DGRGL-C4'!D29)/1000</f>
        <v>638.55267262</v>
      </c>
      <c r="E38" s="444">
        <f>+D38/$D$41</f>
        <v>0.17253233757508513</v>
      </c>
      <c r="F38" s="119"/>
      <c r="G38" s="390" t="s">
        <v>93</v>
      </c>
      <c r="H38" s="374" t="s">
        <v>27</v>
      </c>
      <c r="I38" s="374" t="s">
        <v>29</v>
      </c>
      <c r="J38" s="392" t="s">
        <v>31</v>
      </c>
      <c r="L38" s="238"/>
      <c r="M38" s="241"/>
      <c r="N38" s="241"/>
      <c r="O38" s="54"/>
      <c r="P38" s="55"/>
    </row>
    <row r="39" spans="2:16" ht="19.5" customHeight="1">
      <c r="B39" s="121" t="s">
        <v>35</v>
      </c>
      <c r="C39" s="370">
        <f>(+'DGRGL-C4'!C24)/1000</f>
        <v>3.0199995000000004</v>
      </c>
      <c r="D39" s="370">
        <f>(+'DGRGL-C4'!D24)/1000</f>
        <v>11.237418139999999</v>
      </c>
      <c r="E39" s="444">
        <f>+D39/$D$41</f>
        <v>0.0030362695250304708</v>
      </c>
      <c r="F39" s="124"/>
      <c r="G39" s="243">
        <v>2009</v>
      </c>
      <c r="H39" s="370">
        <v>71</v>
      </c>
      <c r="I39" s="370">
        <v>192</v>
      </c>
      <c r="J39" s="393">
        <f aca="true" t="shared" si="1" ref="J39:J50">+I39+H39</f>
        <v>263</v>
      </c>
      <c r="L39" s="238"/>
      <c r="M39" s="242"/>
      <c r="N39" s="230"/>
      <c r="O39" s="54"/>
      <c r="P39" s="55"/>
    </row>
    <row r="40" spans="2:16" ht="19.5" customHeight="1">
      <c r="B40" s="121" t="s">
        <v>36</v>
      </c>
      <c r="C40" s="370">
        <f>(+'DGRGL-C4'!C34)/1000</f>
        <v>9.24500806</v>
      </c>
      <c r="D40" s="370">
        <f>(+'DGRGL-C4'!D34)/1000</f>
        <v>34.40067499</v>
      </c>
      <c r="E40" s="444">
        <f>+D40/$D$41</f>
        <v>0.009294814859724967</v>
      </c>
      <c r="F40" s="124"/>
      <c r="G40" s="243">
        <v>2010</v>
      </c>
      <c r="H40" s="370">
        <v>72</v>
      </c>
      <c r="I40" s="370">
        <v>249</v>
      </c>
      <c r="J40" s="393">
        <f t="shared" si="1"/>
        <v>321</v>
      </c>
      <c r="L40" s="238"/>
      <c r="N40" s="117"/>
      <c r="O40" s="52"/>
      <c r="P40" s="55"/>
    </row>
    <row r="41" spans="2:16" ht="19.5" customHeight="1">
      <c r="B41" s="123" t="s">
        <v>31</v>
      </c>
      <c r="C41" s="371">
        <f>+C40+C38+C39+C37</f>
        <v>994.6414424800001</v>
      </c>
      <c r="D41" s="371">
        <f>+D40+D38+D39+D37</f>
        <v>3701.0608074680804</v>
      </c>
      <c r="E41" s="445">
        <f>+E40+E38+E39+E37</f>
        <v>1</v>
      </c>
      <c r="F41" s="124"/>
      <c r="G41" s="243">
        <v>2011</v>
      </c>
      <c r="H41" s="370">
        <v>70</v>
      </c>
      <c r="I41" s="370">
        <v>315</v>
      </c>
      <c r="J41" s="393">
        <f t="shared" si="1"/>
        <v>385</v>
      </c>
      <c r="L41" s="238"/>
      <c r="M41" s="230"/>
      <c r="N41" s="230"/>
      <c r="O41" s="54"/>
      <c r="P41" s="55"/>
    </row>
    <row r="42" spans="2:16" ht="19.5" customHeight="1">
      <c r="B42" s="121" t="s">
        <v>38</v>
      </c>
      <c r="C42" s="370">
        <f>+C37</f>
        <v>810.7686218000001</v>
      </c>
      <c r="D42" s="370">
        <f>+D37</f>
        <v>3016.8700417180803</v>
      </c>
      <c r="E42" s="444">
        <f>+C42/$C$44</f>
        <v>0.8151365780400838</v>
      </c>
      <c r="F42" s="124"/>
      <c r="G42" s="243">
        <v>2012</v>
      </c>
      <c r="H42" s="370">
        <v>63.198</v>
      </c>
      <c r="I42" s="378">
        <v>425.85551902000003</v>
      </c>
      <c r="J42" s="393">
        <f t="shared" si="1"/>
        <v>489.05351902</v>
      </c>
      <c r="L42" s="238"/>
      <c r="N42" s="117"/>
      <c r="O42" s="52"/>
      <c r="P42" s="55"/>
    </row>
    <row r="43" spans="2:16" ht="19.5" customHeight="1">
      <c r="B43" s="121" t="s">
        <v>37</v>
      </c>
      <c r="C43" s="370">
        <f>+C39+C38+C40</f>
        <v>183.87282068</v>
      </c>
      <c r="D43" s="370">
        <f>+D39+D38+D40</f>
        <v>684.19076575</v>
      </c>
      <c r="E43" s="444">
        <f>+C43/$C$44</f>
        <v>0.1848634219599162</v>
      </c>
      <c r="F43" s="122"/>
      <c r="G43" s="243">
        <v>2013</v>
      </c>
      <c r="H43" s="370">
        <v>56.5285205</v>
      </c>
      <c r="I43" s="378">
        <v>591.0717845600001</v>
      </c>
      <c r="J43" s="393">
        <f t="shared" si="1"/>
        <v>647.6003050600001</v>
      </c>
      <c r="L43" s="238"/>
      <c r="N43" s="117"/>
      <c r="O43" s="52"/>
      <c r="P43" s="55"/>
    </row>
    <row r="44" spans="2:16" ht="19.5" customHeight="1">
      <c r="B44" s="123" t="s">
        <v>31</v>
      </c>
      <c r="C44" s="371">
        <f>+C43+C42</f>
        <v>994.6414424800001</v>
      </c>
      <c r="D44" s="371">
        <f>+D43+D42</f>
        <v>3701.0608074680804</v>
      </c>
      <c r="E44" s="445">
        <f>+E43+E42</f>
        <v>1</v>
      </c>
      <c r="F44" s="122"/>
      <c r="G44" s="243">
        <v>2014</v>
      </c>
      <c r="H44" s="370">
        <v>50.26007419</v>
      </c>
      <c r="I44" s="370">
        <v>752.8751732600001</v>
      </c>
      <c r="J44" s="393">
        <f t="shared" si="1"/>
        <v>803.1352474500001</v>
      </c>
      <c r="L44" s="230"/>
      <c r="N44" s="117"/>
      <c r="O44" s="52"/>
      <c r="P44" s="55"/>
    </row>
    <row r="45" spans="2:16" ht="19.5" customHeight="1">
      <c r="B45" s="52"/>
      <c r="C45" s="52"/>
      <c r="D45" s="52"/>
      <c r="E45" s="52"/>
      <c r="F45" s="124"/>
      <c r="G45" s="243">
        <v>2015</v>
      </c>
      <c r="H45" s="370">
        <v>44.4029874</v>
      </c>
      <c r="I45" s="370">
        <v>911.7782794100002</v>
      </c>
      <c r="J45" s="393">
        <f t="shared" si="1"/>
        <v>956.1812668100002</v>
      </c>
      <c r="L45" s="244"/>
      <c r="M45" s="245"/>
      <c r="N45" s="117"/>
      <c r="O45" s="52"/>
      <c r="P45" s="55"/>
    </row>
    <row r="46" spans="7:16" ht="19.5" customHeight="1">
      <c r="G46" s="243">
        <v>2016</v>
      </c>
      <c r="H46" s="370">
        <v>38.965713019999995</v>
      </c>
      <c r="I46" s="370">
        <v>1125.5192306200001</v>
      </c>
      <c r="J46" s="393">
        <f t="shared" si="1"/>
        <v>1164.4849436400002</v>
      </c>
      <c r="L46" s="230"/>
      <c r="M46" s="246"/>
      <c r="N46" s="230"/>
      <c r="O46" s="54"/>
      <c r="P46" s="55"/>
    </row>
    <row r="47" spans="2:16" ht="19.5" customHeight="1">
      <c r="B47" s="522" t="s">
        <v>8</v>
      </c>
      <c r="C47" s="523"/>
      <c r="D47" s="523"/>
      <c r="E47" s="524"/>
      <c r="F47" s="116"/>
      <c r="G47" s="243">
        <v>2017</v>
      </c>
      <c r="H47" s="370">
        <v>33.93910748</v>
      </c>
      <c r="I47" s="370">
        <v>695.27858884</v>
      </c>
      <c r="J47" s="393">
        <f t="shared" si="1"/>
        <v>729.21769632</v>
      </c>
      <c r="L47" s="230"/>
      <c r="M47" s="230"/>
      <c r="N47" s="230"/>
      <c r="O47" s="54"/>
      <c r="P47" s="55"/>
    </row>
    <row r="48" spans="2:16" ht="19.5" customHeight="1">
      <c r="B48" s="118"/>
      <c r="C48" s="374" t="s">
        <v>13</v>
      </c>
      <c r="D48" s="374" t="s">
        <v>129</v>
      </c>
      <c r="E48" s="377" t="s">
        <v>26</v>
      </c>
      <c r="F48" s="119"/>
      <c r="G48" s="460">
        <v>2018</v>
      </c>
      <c r="H48" s="370">
        <v>29.32455225</v>
      </c>
      <c r="I48" s="370">
        <v>1046.91136084</v>
      </c>
      <c r="J48" s="393">
        <f t="shared" si="1"/>
        <v>1076.23591309</v>
      </c>
      <c r="L48" s="230"/>
      <c r="M48" s="230"/>
      <c r="N48" s="230"/>
      <c r="O48" s="54"/>
      <c r="P48" s="55"/>
    </row>
    <row r="49" spans="2:16" ht="19.5" customHeight="1">
      <c r="B49" s="121" t="s">
        <v>47</v>
      </c>
      <c r="C49" s="370">
        <f>(+'DGRGL-C2'!C14)/1000</f>
        <v>972.4798700000001</v>
      </c>
      <c r="D49" s="370">
        <f>(+'DGRGL-C2'!D14)/1000</f>
        <v>3618.59759627</v>
      </c>
      <c r="E49" s="444">
        <f>+D49/$D$51</f>
        <v>0.9777190336798679</v>
      </c>
      <c r="F49" s="247"/>
      <c r="G49" s="460">
        <v>2019</v>
      </c>
      <c r="H49" s="370">
        <v>25.11588378</v>
      </c>
      <c r="I49" s="370">
        <v>1051.14683938</v>
      </c>
      <c r="J49" s="393">
        <f t="shared" si="1"/>
        <v>1076.2627231600002</v>
      </c>
      <c r="L49" s="230"/>
      <c r="M49" s="230"/>
      <c r="N49" s="230"/>
      <c r="O49" s="54"/>
      <c r="P49" s="55"/>
    </row>
    <row r="50" spans="2:16" ht="19.5" customHeight="1">
      <c r="B50" s="121" t="s">
        <v>46</v>
      </c>
      <c r="C50" s="370">
        <f>(+'DGRGL-C2'!C19)/1000</f>
        <v>22.16157248</v>
      </c>
      <c r="D50" s="370">
        <f>(+'DGRGL-C2'!D19)/1000</f>
        <v>82.4632112</v>
      </c>
      <c r="E50" s="444">
        <f>+D50/$D$51</f>
        <v>0.022280966320132108</v>
      </c>
      <c r="F50" s="247"/>
      <c r="G50" s="460">
        <v>2020</v>
      </c>
      <c r="H50" s="370">
        <v>21.32238415</v>
      </c>
      <c r="I50" s="370">
        <v>752.79007244</v>
      </c>
      <c r="J50" s="393">
        <f t="shared" si="1"/>
        <v>774.11245659</v>
      </c>
      <c r="L50" s="230"/>
      <c r="M50" s="230"/>
      <c r="N50" s="230"/>
      <c r="O50" s="54"/>
      <c r="P50" s="55"/>
    </row>
    <row r="51" spans="2:16" ht="19.5" customHeight="1">
      <c r="B51" s="123" t="s">
        <v>31</v>
      </c>
      <c r="C51" s="371">
        <f>+C50+C49</f>
        <v>994.6414424800001</v>
      </c>
      <c r="D51" s="371">
        <f>+D50+D49</f>
        <v>3701.06080747</v>
      </c>
      <c r="E51" s="445">
        <f>+E50+E49</f>
        <v>1</v>
      </c>
      <c r="F51" s="247"/>
      <c r="G51" s="460">
        <v>2021</v>
      </c>
      <c r="H51" s="370">
        <v>17.93927132</v>
      </c>
      <c r="I51" s="370">
        <v>726.5431257600001</v>
      </c>
      <c r="J51" s="393">
        <f>+I51+H51</f>
        <v>744.48239708</v>
      </c>
      <c r="L51" s="230"/>
      <c r="M51" s="230"/>
      <c r="N51" s="230"/>
      <c r="O51" s="54"/>
      <c r="P51" s="55"/>
    </row>
    <row r="52" spans="2:16" ht="19.5" customHeight="1">
      <c r="B52" s="119"/>
      <c r="C52" s="487"/>
      <c r="D52" s="487"/>
      <c r="E52" s="488"/>
      <c r="F52" s="247"/>
      <c r="G52" s="493" t="s">
        <v>285</v>
      </c>
      <c r="H52" s="370">
        <v>14.9630181</v>
      </c>
      <c r="I52" s="370">
        <v>666.9443867900001</v>
      </c>
      <c r="J52" s="393">
        <f>+I52+H52</f>
        <v>681.9074048900001</v>
      </c>
      <c r="L52" s="230"/>
      <c r="M52" s="230"/>
      <c r="N52" s="230"/>
      <c r="O52" s="54"/>
      <c r="P52" s="55"/>
    </row>
    <row r="53" spans="2:16" ht="19.5" customHeight="1">
      <c r="B53" s="119"/>
      <c r="C53" s="487"/>
      <c r="D53" s="487"/>
      <c r="E53" s="488"/>
      <c r="F53" s="247"/>
      <c r="G53" s="493" t="s">
        <v>390</v>
      </c>
      <c r="H53" s="370">
        <v>12.40236419</v>
      </c>
      <c r="I53" s="370">
        <v>1014.1072922000001</v>
      </c>
      <c r="J53" s="393">
        <f>+I53+H53</f>
        <v>1026.5096563900001</v>
      </c>
      <c r="L53" s="230"/>
      <c r="M53" s="230"/>
      <c r="N53" s="230"/>
      <c r="O53" s="54"/>
      <c r="P53" s="55"/>
    </row>
    <row r="54" spans="2:16" ht="19.5" customHeight="1">
      <c r="B54" s="119"/>
      <c r="C54" s="487"/>
      <c r="D54" s="487"/>
      <c r="E54" s="488"/>
      <c r="F54" s="247"/>
      <c r="G54" s="494" t="s">
        <v>425</v>
      </c>
      <c r="H54" s="391">
        <f>+C14</f>
        <v>11.27487652</v>
      </c>
      <c r="I54" s="391">
        <f>+C13</f>
        <v>983.36656596</v>
      </c>
      <c r="J54" s="394">
        <f>+I54+H54</f>
        <v>994.64144248</v>
      </c>
      <c r="L54" s="230"/>
      <c r="M54" s="230"/>
      <c r="N54" s="230"/>
      <c r="O54" s="54"/>
      <c r="P54" s="55"/>
    </row>
    <row r="55" spans="2:16" ht="19.5" customHeight="1">
      <c r="B55" s="52"/>
      <c r="C55" s="52"/>
      <c r="D55" s="52"/>
      <c r="E55" s="52"/>
      <c r="F55" s="247"/>
      <c r="G55" s="52"/>
      <c r="H55" s="52"/>
      <c r="I55" s="52"/>
      <c r="J55" s="52"/>
      <c r="L55" s="230"/>
      <c r="M55" s="230"/>
      <c r="N55" s="230"/>
      <c r="O55" s="54"/>
      <c r="P55" s="55"/>
    </row>
    <row r="56" spans="2:16" ht="19.5" customHeight="1">
      <c r="B56" s="52"/>
      <c r="C56" s="52"/>
      <c r="D56" s="52"/>
      <c r="E56" s="52"/>
      <c r="F56" s="124"/>
      <c r="L56" s="238"/>
      <c r="M56" s="248"/>
      <c r="N56" s="230"/>
      <c r="O56" s="54"/>
      <c r="P56" s="55"/>
    </row>
    <row r="57" spans="3:16" ht="19.5" customHeight="1">
      <c r="C57" s="291">
        <f>+C51-C44</f>
        <v>0</v>
      </c>
      <c r="D57" s="291">
        <f>+D51-D44</f>
        <v>1.919488568091765E-09</v>
      </c>
      <c r="L57" s="238"/>
      <c r="M57" s="238"/>
      <c r="N57" s="230"/>
      <c r="O57" s="54"/>
      <c r="P57" s="55"/>
    </row>
    <row r="58" spans="2:16" ht="19.5" customHeight="1">
      <c r="B58" s="242"/>
      <c r="C58" s="292"/>
      <c r="D58" s="292"/>
      <c r="L58" s="238"/>
      <c r="M58" s="238"/>
      <c r="N58" s="230"/>
      <c r="O58" s="54"/>
      <c r="P58" s="55"/>
    </row>
    <row r="59" spans="3:16" ht="19.5" customHeight="1">
      <c r="C59" s="293">
        <f>+C51-C41</f>
        <v>0</v>
      </c>
      <c r="D59" s="293">
        <f>+D51-D41</f>
        <v>1.919488568091765E-09</v>
      </c>
      <c r="L59" s="238"/>
      <c r="M59" s="238"/>
      <c r="N59" s="230"/>
      <c r="O59" s="54"/>
      <c r="P59" s="55"/>
    </row>
    <row r="60" spans="3:16" ht="25.5" customHeight="1">
      <c r="C60" s="264"/>
      <c r="D60" s="245"/>
      <c r="H60" s="276"/>
      <c r="I60" s="276"/>
      <c r="J60" s="227"/>
      <c r="L60" s="238"/>
      <c r="M60" s="238"/>
      <c r="N60" s="230"/>
      <c r="O60" s="54"/>
      <c r="P60" s="55"/>
    </row>
    <row r="61" spans="7:16" ht="19.5" customHeight="1">
      <c r="G61" s="294"/>
      <c r="H61" s="295">
        <f>+H54-C14</f>
        <v>0</v>
      </c>
      <c r="I61" s="295">
        <f>+I54-C13</f>
        <v>0</v>
      </c>
      <c r="J61" s="294"/>
      <c r="L61" s="238"/>
      <c r="M61" s="238"/>
      <c r="N61" s="230"/>
      <c r="O61" s="54"/>
      <c r="P61" s="55"/>
    </row>
    <row r="62" spans="12:16" ht="19.5" customHeight="1">
      <c r="L62" s="238"/>
      <c r="M62" s="238"/>
      <c r="N62" s="230"/>
      <c r="O62" s="54"/>
      <c r="P62" s="55"/>
    </row>
    <row r="63" spans="8:16" ht="19.5" customHeight="1">
      <c r="H63" s="249"/>
      <c r="I63" s="249"/>
      <c r="J63" s="249"/>
      <c r="L63" s="238"/>
      <c r="M63" s="238"/>
      <c r="N63" s="230"/>
      <c r="O63" s="54"/>
      <c r="P63" s="55"/>
    </row>
    <row r="64" spans="8:16" ht="19.5" customHeight="1">
      <c r="H64" s="249"/>
      <c r="I64" s="250"/>
      <c r="J64" s="249"/>
      <c r="L64" s="238"/>
      <c r="M64" s="238"/>
      <c r="N64" s="230"/>
      <c r="O64" s="54"/>
      <c r="P64" s="55"/>
    </row>
    <row r="65" spans="8:16" ht="19.5" customHeight="1">
      <c r="H65" s="249"/>
      <c r="I65" s="250"/>
      <c r="J65" s="249"/>
      <c r="L65" s="238"/>
      <c r="M65" s="238"/>
      <c r="N65" s="230"/>
      <c r="O65" s="54"/>
      <c r="P65" s="55"/>
    </row>
    <row r="66" spans="8:16" ht="19.5" customHeight="1">
      <c r="H66" s="249"/>
      <c r="I66" s="250"/>
      <c r="J66" s="249"/>
      <c r="L66" s="238"/>
      <c r="M66" s="238"/>
      <c r="N66" s="230"/>
      <c r="O66" s="54"/>
      <c r="P66" s="55"/>
    </row>
    <row r="67" spans="8:16" ht="19.5" customHeight="1">
      <c r="H67" s="249"/>
      <c r="I67" s="249"/>
      <c r="J67" s="249"/>
      <c r="L67" s="238"/>
      <c r="M67" s="238"/>
      <c r="N67" s="230"/>
      <c r="O67" s="54"/>
      <c r="P67" s="55"/>
    </row>
    <row r="68" spans="10:16" ht="19.5" customHeight="1">
      <c r="J68" s="249"/>
      <c r="L68" s="238"/>
      <c r="M68" s="238"/>
      <c r="N68" s="230"/>
      <c r="O68" s="54"/>
      <c r="P68" s="55"/>
    </row>
    <row r="69" spans="10:16" ht="19.5" customHeight="1">
      <c r="J69" s="249"/>
      <c r="L69" s="238"/>
      <c r="M69" s="238"/>
      <c r="N69" s="230"/>
      <c r="O69" s="54"/>
      <c r="P69" s="55"/>
    </row>
    <row r="70" spans="12:16" ht="19.5" customHeight="1">
      <c r="L70" s="238"/>
      <c r="M70" s="238"/>
      <c r="N70" s="230"/>
      <c r="O70" s="54"/>
      <c r="P70" s="55"/>
    </row>
    <row r="71" spans="12:16" ht="19.5" customHeight="1">
      <c r="L71" s="238"/>
      <c r="M71" s="238"/>
      <c r="N71" s="230"/>
      <c r="O71" s="54"/>
      <c r="P71" s="55"/>
    </row>
    <row r="72" spans="12:16" ht="19.5" customHeight="1">
      <c r="L72" s="238"/>
      <c r="M72" s="238"/>
      <c r="N72" s="230"/>
      <c r="O72" s="54"/>
      <c r="P72" s="55"/>
    </row>
    <row r="73" spans="8:16" ht="19.5" customHeight="1">
      <c r="H73" s="251"/>
      <c r="I73" s="251"/>
      <c r="L73" s="238"/>
      <c r="M73" s="238"/>
      <c r="N73" s="230"/>
      <c r="O73" s="54"/>
      <c r="P73" s="55"/>
    </row>
    <row r="74" spans="12:16" ht="19.5" customHeight="1">
      <c r="L74" s="238"/>
      <c r="M74" s="238"/>
      <c r="N74" s="230"/>
      <c r="O74" s="54"/>
      <c r="P74" s="55"/>
    </row>
    <row r="75" spans="2:16" ht="19.5" customHeight="1">
      <c r="B75" s="252"/>
      <c r="L75" s="238"/>
      <c r="M75" s="238"/>
      <c r="N75" s="230"/>
      <c r="O75" s="54"/>
      <c r="P75" s="55"/>
    </row>
    <row r="76" spans="2:16" ht="19.5" customHeight="1">
      <c r="B76" s="252"/>
      <c r="L76" s="238"/>
      <c r="M76" s="238"/>
      <c r="N76" s="230"/>
      <c r="O76" s="54"/>
      <c r="P76" s="55"/>
    </row>
    <row r="77" spans="12:16" ht="19.5" customHeight="1">
      <c r="L77" s="238"/>
      <c r="M77" s="238"/>
      <c r="N77" s="230"/>
      <c r="O77" s="54"/>
      <c r="P77" s="55"/>
    </row>
    <row r="78" spans="12:16" ht="19.5" customHeight="1">
      <c r="L78" s="238"/>
      <c r="M78" s="238"/>
      <c r="N78" s="230"/>
      <c r="O78" s="54"/>
      <c r="P78" s="55"/>
    </row>
    <row r="79" spans="12:16" ht="19.5" customHeight="1">
      <c r="L79" s="238"/>
      <c r="M79" s="238"/>
      <c r="N79" s="230"/>
      <c r="O79" s="54"/>
      <c r="P79" s="55"/>
    </row>
    <row r="80" spans="10:16" ht="19.5" customHeight="1">
      <c r="J80" s="249"/>
      <c r="L80" s="238"/>
      <c r="M80" s="238"/>
      <c r="N80" s="230"/>
      <c r="O80" s="54"/>
      <c r="P80" s="55"/>
    </row>
    <row r="83" spans="8:9" ht="19.5" customHeight="1">
      <c r="H83" s="251"/>
      <c r="I83" s="251"/>
    </row>
  </sheetData>
  <sheetProtection/>
  <mergeCells count="13">
    <mergeCell ref="B47:E47"/>
    <mergeCell ref="B35:E35"/>
    <mergeCell ref="B18:E18"/>
    <mergeCell ref="G18:J18"/>
    <mergeCell ref="B26:E26"/>
    <mergeCell ref="G36:J36"/>
    <mergeCell ref="H37:J37"/>
    <mergeCell ref="B8:F8"/>
    <mergeCell ref="B5:J5"/>
    <mergeCell ref="B7:J7"/>
    <mergeCell ref="B11:E11"/>
    <mergeCell ref="G11:J11"/>
    <mergeCell ref="B6:J6"/>
  </mergeCells>
  <printOptions/>
  <pageMargins left="1.1023622047244095" right="0.5118110236220472" top="0.9448818897637796" bottom="0.35433070866141736" header="0.31496062992125984" footer="0.1968503937007874"/>
  <pageSetup fitToHeight="1" fitToWidth="1" horizontalDpi="600" verticalDpi="600" orientation="landscape" paperSize="9" r:id="rId2"/>
  <ignoredErrors>
    <ignoredError sqref="G52 G53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2"/>
  <sheetViews>
    <sheetView showGridLines="0" zoomScale="80" zoomScaleNormal="80" zoomScalePageLayoutView="0" workbookViewId="0" topLeftCell="A1">
      <selection activeCell="B5" sqref="B5:K5"/>
    </sheetView>
  </sheetViews>
  <sheetFormatPr defaultColWidth="15.7109375" defaultRowHeight="19.5" customHeight="1"/>
  <cols>
    <col min="1" max="1" width="1.8515625" style="52" customWidth="1"/>
    <col min="2" max="2" width="16.7109375" style="52" customWidth="1"/>
    <col min="3" max="11" width="16.7109375" style="117" customWidth="1"/>
    <col min="12" max="12" width="2.421875" style="117" customWidth="1"/>
    <col min="13" max="14" width="15.7109375" style="117" customWidth="1"/>
    <col min="15" max="16384" width="15.7109375" style="52" customWidth="1"/>
  </cols>
  <sheetData>
    <row r="1" s="4" customFormat="1" ht="15.75" customHeight="1"/>
    <row r="2" s="4" customFormat="1" ht="15.75" customHeight="1">
      <c r="D2" s="5"/>
    </row>
    <row r="3" s="4" customFormat="1" ht="15.75" customHeight="1">
      <c r="D3" s="5"/>
    </row>
    <row r="4" spans="1:14" s="1" customFormat="1" ht="18" customHeight="1">
      <c r="A4" s="4"/>
      <c r="B4" s="4"/>
      <c r="C4" s="4"/>
      <c r="D4" s="4"/>
      <c r="E4" s="4"/>
      <c r="F4" s="4"/>
      <c r="G4" s="265"/>
      <c r="H4" s="265"/>
      <c r="I4" s="265"/>
      <c r="J4" s="265"/>
      <c r="K4" s="265"/>
      <c r="L4" s="265"/>
      <c r="M4" s="265"/>
      <c r="N4" s="265"/>
    </row>
    <row r="5" spans="1:14" s="1" customFormat="1" ht="19.5" customHeight="1">
      <c r="A5" s="4"/>
      <c r="B5" s="527" t="s">
        <v>168</v>
      </c>
      <c r="C5" s="527"/>
      <c r="D5" s="527"/>
      <c r="E5" s="527"/>
      <c r="F5" s="527"/>
      <c r="G5" s="527"/>
      <c r="H5" s="527"/>
      <c r="I5" s="527"/>
      <c r="J5" s="527"/>
      <c r="K5" s="527"/>
      <c r="L5" s="265"/>
      <c r="M5" s="265"/>
      <c r="N5" s="265"/>
    </row>
    <row r="6" spans="1:14" s="1" customFormat="1" ht="19.5" customHeight="1">
      <c r="A6" s="4"/>
      <c r="B6" s="521" t="s">
        <v>237</v>
      </c>
      <c r="C6" s="521"/>
      <c r="D6" s="521"/>
      <c r="E6" s="521"/>
      <c r="F6" s="521"/>
      <c r="G6" s="521"/>
      <c r="H6" s="521"/>
      <c r="I6" s="521"/>
      <c r="J6" s="521"/>
      <c r="K6" s="521"/>
      <c r="L6" s="265"/>
      <c r="M6" s="265"/>
      <c r="N6" s="265"/>
    </row>
    <row r="7" spans="1:14" s="1" customFormat="1" ht="18" customHeight="1">
      <c r="A7" s="4"/>
      <c r="B7" s="507" t="str">
        <f>+Indice!B7</f>
        <v>AL 31 DE MARZO DE 2024</v>
      </c>
      <c r="C7" s="507"/>
      <c r="D7" s="507"/>
      <c r="E7" s="507"/>
      <c r="F7" s="507"/>
      <c r="G7" s="507"/>
      <c r="H7" s="507"/>
      <c r="I7" s="507"/>
      <c r="J7" s="507"/>
      <c r="K7" s="507"/>
      <c r="L7" s="265"/>
      <c r="M7" s="265"/>
      <c r="N7" s="265"/>
    </row>
    <row r="8" spans="1:14" s="1" customFormat="1" ht="19.5" customHeight="1">
      <c r="A8" s="4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5"/>
      <c r="M8" s="265"/>
      <c r="N8" s="265"/>
    </row>
    <row r="9" spans="1:14" s="1" customFormat="1" ht="19.5" customHeight="1">
      <c r="A9" s="4"/>
      <c r="B9" s="267"/>
      <c r="C9" s="267"/>
      <c r="D9" s="267"/>
      <c r="E9" s="267"/>
      <c r="F9" s="267"/>
      <c r="G9" s="267"/>
      <c r="H9" s="267"/>
      <c r="I9" s="267"/>
      <c r="J9" s="218"/>
      <c r="K9" s="218"/>
      <c r="L9" s="265"/>
      <c r="M9" s="265"/>
      <c r="N9" s="265"/>
    </row>
    <row r="10" spans="2:11" ht="19.5" customHeight="1">
      <c r="B10" s="528" t="s">
        <v>15</v>
      </c>
      <c r="C10" s="528"/>
      <c r="D10" s="528"/>
      <c r="E10" s="529" t="s">
        <v>39</v>
      </c>
      <c r="F10" s="529"/>
      <c r="G10" s="529"/>
      <c r="H10" s="530" t="s">
        <v>40</v>
      </c>
      <c r="I10" s="530"/>
      <c r="J10" s="530"/>
      <c r="K10" s="530"/>
    </row>
    <row r="17" ht="19.5" customHeight="1">
      <c r="I17" s="249"/>
    </row>
    <row r="20" spans="7:8" ht="19.5" customHeight="1">
      <c r="G20" s="251"/>
      <c r="H20" s="251"/>
    </row>
    <row r="22" ht="19.5" customHeight="1">
      <c r="H22" s="117" t="s">
        <v>218</v>
      </c>
    </row>
    <row r="24" spans="2:15" ht="19.5" customHeight="1">
      <c r="B24" s="528" t="s">
        <v>41</v>
      </c>
      <c r="C24" s="528"/>
      <c r="D24" s="528"/>
      <c r="E24" s="529" t="s">
        <v>42</v>
      </c>
      <c r="F24" s="529"/>
      <c r="G24" s="529"/>
      <c r="H24" s="529" t="s">
        <v>44</v>
      </c>
      <c r="I24" s="529"/>
      <c r="J24" s="529"/>
      <c r="K24" s="529"/>
      <c r="L24" s="529"/>
      <c r="M24" s="529"/>
      <c r="N24" s="529"/>
      <c r="O24" s="529"/>
    </row>
    <row r="37" spans="1:15" ht="19.5" customHeight="1">
      <c r="A37" s="117"/>
      <c r="B37" s="194"/>
      <c r="C37" s="194"/>
      <c r="D37" s="194"/>
      <c r="E37" s="117" t="s">
        <v>241</v>
      </c>
      <c r="F37" s="194"/>
      <c r="G37" s="194"/>
      <c r="H37" s="195"/>
      <c r="J37" s="194"/>
      <c r="K37" s="194"/>
      <c r="O37" s="117"/>
    </row>
    <row r="38" spans="1:15" ht="19.5" customHeight="1">
      <c r="A38" s="117"/>
      <c r="B38" s="117"/>
      <c r="H38" s="195" t="s">
        <v>164</v>
      </c>
      <c r="O38" s="117"/>
    </row>
    <row r="39" spans="1:15" ht="19.5" customHeight="1">
      <c r="A39" s="117"/>
      <c r="B39" s="532" t="s">
        <v>45</v>
      </c>
      <c r="C39" s="532"/>
      <c r="D39" s="532"/>
      <c r="E39" s="532"/>
      <c r="F39" s="532"/>
      <c r="G39" s="196"/>
      <c r="H39" s="529" t="s">
        <v>48</v>
      </c>
      <c r="I39" s="529"/>
      <c r="J39" s="529"/>
      <c r="K39" s="529"/>
      <c r="L39" s="529"/>
      <c r="M39" s="529"/>
      <c r="O39" s="117"/>
    </row>
    <row r="40" spans="1:15" ht="19.5" customHeight="1">
      <c r="A40" s="533" t="s">
        <v>43</v>
      </c>
      <c r="B40" s="533"/>
      <c r="C40" s="533"/>
      <c r="D40" s="533"/>
      <c r="E40" s="533"/>
      <c r="F40" s="533"/>
      <c r="O40" s="117"/>
    </row>
    <row r="41" spans="1:15" ht="19.5" customHeight="1">
      <c r="A41" s="117"/>
      <c r="B41" s="117"/>
      <c r="O41" s="117"/>
    </row>
    <row r="42" spans="1:15" ht="19.5" customHeight="1">
      <c r="A42" s="117"/>
      <c r="B42" s="117"/>
      <c r="O42" s="117"/>
    </row>
    <row r="43" spans="1:15" ht="19.5" customHeight="1">
      <c r="A43" s="117"/>
      <c r="B43" s="117"/>
      <c r="O43" s="117"/>
    </row>
    <row r="44" spans="1:15" ht="19.5" customHeight="1">
      <c r="A44" s="117"/>
      <c r="B44" s="117"/>
      <c r="O44" s="117"/>
    </row>
    <row r="45" spans="1:15" ht="19.5" customHeight="1">
      <c r="A45" s="117"/>
      <c r="B45" s="117"/>
      <c r="O45" s="117"/>
    </row>
    <row r="46" spans="1:15" ht="19.5" customHeight="1">
      <c r="A46" s="117"/>
      <c r="B46" s="117"/>
      <c r="O46" s="117"/>
    </row>
    <row r="47" spans="1:15" ht="19.5" customHeight="1">
      <c r="A47" s="117"/>
      <c r="B47" s="117"/>
      <c r="O47" s="117"/>
    </row>
    <row r="48" spans="1:15" ht="19.5" customHeight="1">
      <c r="A48" s="117"/>
      <c r="B48" s="117"/>
      <c r="O48" s="117"/>
    </row>
    <row r="49" spans="1:15" ht="19.5" customHeight="1">
      <c r="A49" s="117"/>
      <c r="B49" s="117"/>
      <c r="O49" s="117"/>
    </row>
    <row r="50" spans="1:15" ht="19.5" customHeight="1">
      <c r="A50" s="117"/>
      <c r="B50" s="117"/>
      <c r="O50" s="117"/>
    </row>
    <row r="51" spans="1:15" ht="19.5" customHeight="1">
      <c r="A51" s="117"/>
      <c r="B51" s="117"/>
      <c r="O51" s="117"/>
    </row>
    <row r="52" spans="1:15" ht="19.5" customHeight="1">
      <c r="A52" s="117"/>
      <c r="B52" s="117"/>
      <c r="O52" s="117"/>
    </row>
    <row r="53" spans="1:15" ht="19.5" customHeight="1">
      <c r="A53" s="117"/>
      <c r="B53" s="531"/>
      <c r="C53" s="531"/>
      <c r="O53" s="117"/>
    </row>
    <row r="54" s="117" customFormat="1" ht="19.5" customHeight="1"/>
    <row r="55" s="117" customFormat="1" ht="19.5" customHeight="1"/>
    <row r="56" s="117" customFormat="1" ht="19.5" customHeight="1"/>
    <row r="57" s="117" customFormat="1" ht="19.5" customHeight="1"/>
    <row r="58" s="117" customFormat="1" ht="19.5" customHeight="1"/>
    <row r="59" s="117" customFormat="1" ht="19.5" customHeight="1"/>
    <row r="60" s="117" customFormat="1" ht="19.5" customHeight="1"/>
    <row r="61" s="117" customFormat="1" ht="19.5" customHeight="1"/>
    <row r="62" s="117" customFormat="1" ht="19.5" customHeight="1"/>
    <row r="63" s="117" customFormat="1" ht="19.5" customHeight="1"/>
    <row r="64" s="117" customFormat="1" ht="19.5" customHeight="1"/>
    <row r="65" s="117" customFormat="1" ht="19.5" customHeight="1"/>
    <row r="66" s="117" customFormat="1" ht="19.5" customHeight="1"/>
    <row r="67" s="117" customFormat="1" ht="19.5" customHeight="1"/>
    <row r="68" s="117" customFormat="1" ht="19.5" customHeight="1"/>
    <row r="69" s="117" customFormat="1" ht="19.5" customHeight="1"/>
    <row r="70" s="117" customFormat="1" ht="19.5" customHeight="1"/>
    <row r="71" s="117" customFormat="1" ht="19.5" customHeight="1"/>
    <row r="72" s="117" customFormat="1" ht="19.5" customHeight="1"/>
    <row r="73" s="117" customFormat="1" ht="19.5" customHeight="1"/>
    <row r="74" s="117" customFormat="1" ht="19.5" customHeight="1"/>
    <row r="75" s="117" customFormat="1" ht="19.5" customHeight="1"/>
    <row r="76" s="117" customFormat="1" ht="19.5" customHeight="1"/>
    <row r="77" s="117" customFormat="1" ht="19.5" customHeight="1"/>
    <row r="78" s="117" customFormat="1" ht="19.5" customHeight="1"/>
    <row r="79" s="117" customFormat="1" ht="19.5" customHeight="1"/>
    <row r="80" s="117" customFormat="1" ht="19.5" customHeight="1"/>
    <row r="81" s="117" customFormat="1" ht="19.5" customHeight="1"/>
    <row r="82" s="117" customFormat="1" ht="19.5" customHeight="1"/>
    <row r="83" s="117" customFormat="1" ht="19.5" customHeight="1"/>
    <row r="84" s="117" customFormat="1" ht="19.5" customHeight="1"/>
    <row r="85" s="117" customFormat="1" ht="19.5" customHeight="1"/>
    <row r="86" s="117" customFormat="1" ht="19.5" customHeight="1"/>
    <row r="87" s="117" customFormat="1" ht="19.5" customHeight="1"/>
    <row r="88" s="117" customFormat="1" ht="19.5" customHeight="1"/>
    <row r="89" s="117" customFormat="1" ht="19.5" customHeight="1"/>
    <row r="90" s="117" customFormat="1" ht="19.5" customHeight="1"/>
    <row r="91" s="117" customFormat="1" ht="19.5" customHeight="1"/>
    <row r="92" s="117" customFormat="1" ht="19.5" customHeight="1"/>
    <row r="93" s="117" customFormat="1" ht="19.5" customHeight="1"/>
    <row r="94" s="117" customFormat="1" ht="19.5" customHeight="1"/>
    <row r="95" s="117" customFormat="1" ht="19.5" customHeight="1"/>
    <row r="96" s="117" customFormat="1" ht="19.5" customHeight="1"/>
    <row r="97" s="117" customFormat="1" ht="19.5" customHeight="1"/>
    <row r="98" s="117" customFormat="1" ht="19.5" customHeight="1"/>
    <row r="99" s="117" customFormat="1" ht="19.5" customHeight="1"/>
    <row r="100" s="117" customFormat="1" ht="19.5" customHeight="1"/>
    <row r="101" s="117" customFormat="1" ht="19.5" customHeight="1"/>
    <row r="102" s="117" customFormat="1" ht="19.5" customHeight="1"/>
    <row r="103" s="117" customFormat="1" ht="19.5" customHeight="1"/>
    <row r="104" s="117" customFormat="1" ht="19.5" customHeight="1"/>
    <row r="105" spans="2:15" ht="19.5" customHeight="1">
      <c r="B105" s="117"/>
      <c r="O105" s="117"/>
    </row>
    <row r="106" spans="2:15" ht="19.5" customHeight="1">
      <c r="B106" s="117"/>
      <c r="O106" s="117"/>
    </row>
    <row r="107" spans="2:15" ht="19.5" customHeight="1">
      <c r="B107" s="117"/>
      <c r="O107" s="117"/>
    </row>
    <row r="108" spans="2:15" ht="19.5" customHeight="1">
      <c r="B108" s="117"/>
      <c r="O108" s="117"/>
    </row>
    <row r="109" spans="2:15" ht="19.5" customHeight="1">
      <c r="B109" s="117"/>
      <c r="O109" s="117"/>
    </row>
    <row r="110" spans="2:15" ht="19.5" customHeight="1">
      <c r="B110" s="117"/>
      <c r="O110" s="117"/>
    </row>
    <row r="111" spans="2:15" ht="19.5" customHeight="1">
      <c r="B111" s="117"/>
      <c r="O111" s="117"/>
    </row>
    <row r="112" spans="2:15" ht="19.5" customHeight="1">
      <c r="B112" s="117"/>
      <c r="O112" s="117"/>
    </row>
    <row r="113" spans="2:15" ht="19.5" customHeight="1">
      <c r="B113" s="117"/>
      <c r="O113" s="117"/>
    </row>
    <row r="114" spans="2:15" ht="19.5" customHeight="1">
      <c r="B114" s="117"/>
      <c r="O114" s="117"/>
    </row>
    <row r="115" spans="2:15" ht="19.5" customHeight="1">
      <c r="B115" s="117"/>
      <c r="O115" s="117"/>
    </row>
    <row r="116" spans="2:15" ht="19.5" customHeight="1">
      <c r="B116" s="117"/>
      <c r="O116" s="117"/>
    </row>
    <row r="117" spans="2:15" ht="19.5" customHeight="1">
      <c r="B117" s="117"/>
      <c r="O117" s="117"/>
    </row>
    <row r="118" spans="2:15" ht="19.5" customHeight="1">
      <c r="B118" s="117"/>
      <c r="O118" s="117"/>
    </row>
    <row r="119" spans="2:15" ht="19.5" customHeight="1">
      <c r="B119" s="117"/>
      <c r="O119" s="117"/>
    </row>
    <row r="120" spans="2:15" ht="19.5" customHeight="1">
      <c r="B120" s="117"/>
      <c r="O120" s="117"/>
    </row>
    <row r="121" spans="2:15" ht="19.5" customHeight="1">
      <c r="B121" s="117"/>
      <c r="O121" s="117"/>
    </row>
    <row r="122" spans="2:15" ht="19.5" customHeight="1">
      <c r="B122" s="117"/>
      <c r="O122" s="117"/>
    </row>
  </sheetData>
  <sheetProtection/>
  <mergeCells count="13">
    <mergeCell ref="B24:D24"/>
    <mergeCell ref="E24:G24"/>
    <mergeCell ref="B53:C53"/>
    <mergeCell ref="B39:F39"/>
    <mergeCell ref="A40:F40"/>
    <mergeCell ref="H39:M39"/>
    <mergeCell ref="H24:O24"/>
    <mergeCell ref="B5:K5"/>
    <mergeCell ref="B6:K6"/>
    <mergeCell ref="B7:K7"/>
    <mergeCell ref="B10:D10"/>
    <mergeCell ref="E10:G10"/>
    <mergeCell ref="H10:K10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J57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6.8515625" style="19" customWidth="1"/>
    <col min="3" max="4" width="19.7109375" style="19" customWidth="1"/>
    <col min="5" max="5" width="11.421875" style="62" customWidth="1"/>
    <col min="6" max="6" width="11.421875" style="172" customWidth="1"/>
    <col min="7" max="7" width="16.8515625" style="172" bestFit="1" customWidth="1"/>
    <col min="8" max="8" width="15.140625" style="172" customWidth="1"/>
    <col min="9" max="9" width="25.28125" style="172" bestFit="1" customWidth="1"/>
    <col min="10" max="13" width="11.421875" style="62" customWidth="1"/>
    <col min="14" max="23" width="11.421875" style="19" customWidth="1"/>
    <col min="24" max="16384" width="11.421875" style="17" customWidth="1"/>
  </cols>
  <sheetData>
    <row r="1" ht="15"/>
    <row r="2" ht="15"/>
    <row r="3" ht="15"/>
    <row r="5" spans="2:8" ht="18.75">
      <c r="B5" s="86" t="s">
        <v>17</v>
      </c>
      <c r="C5" s="125"/>
      <c r="D5" s="125"/>
      <c r="F5" s="534"/>
      <c r="G5" s="534"/>
      <c r="H5" s="534"/>
    </row>
    <row r="6" spans="2:4" ht="18" customHeight="1">
      <c r="B6" s="138" t="s">
        <v>242</v>
      </c>
      <c r="C6" s="138"/>
      <c r="D6" s="138"/>
    </row>
    <row r="7" spans="2:9" ht="15.75">
      <c r="B7" s="136" t="s">
        <v>64</v>
      </c>
      <c r="C7" s="136"/>
      <c r="D7" s="136"/>
      <c r="E7" s="184"/>
      <c r="F7" s="296"/>
      <c r="G7" s="296"/>
      <c r="H7" s="296"/>
      <c r="I7" s="296"/>
    </row>
    <row r="8" spans="2:9" ht="15.75" customHeight="1">
      <c r="B8" s="136" t="s">
        <v>122</v>
      </c>
      <c r="C8" s="136"/>
      <c r="D8" s="136"/>
      <c r="E8" s="184"/>
      <c r="F8" s="296"/>
      <c r="H8" s="297"/>
      <c r="I8" s="296"/>
    </row>
    <row r="9" spans="2:9" ht="15.75">
      <c r="B9" s="329" t="s">
        <v>426</v>
      </c>
      <c r="C9" s="329"/>
      <c r="D9" s="269"/>
      <c r="E9" s="315">
        <f>+Portada!I34</f>
        <v>3.721</v>
      </c>
      <c r="F9" s="296"/>
      <c r="G9" s="298"/>
      <c r="H9" s="297"/>
      <c r="I9" s="296"/>
    </row>
    <row r="10" spans="2:9" ht="12.75" customHeight="1">
      <c r="B10" s="126"/>
      <c r="C10" s="126"/>
      <c r="D10" s="126"/>
      <c r="E10" s="184"/>
      <c r="F10" s="296"/>
      <c r="G10" s="296"/>
      <c r="H10" s="296"/>
      <c r="I10" s="296"/>
    </row>
    <row r="11" spans="2:9" ht="15" customHeight="1">
      <c r="B11" s="535" t="s">
        <v>125</v>
      </c>
      <c r="C11" s="547" t="s">
        <v>53</v>
      </c>
      <c r="D11" s="544" t="s">
        <v>130</v>
      </c>
      <c r="E11" s="184"/>
      <c r="F11" s="296"/>
      <c r="G11" s="296"/>
      <c r="H11" s="296"/>
      <c r="I11" s="296"/>
    </row>
    <row r="12" spans="2:10" ht="13.5" customHeight="1">
      <c r="B12" s="536"/>
      <c r="C12" s="548"/>
      <c r="D12" s="545"/>
      <c r="E12" s="266"/>
      <c r="F12" s="296"/>
      <c r="G12" s="296"/>
      <c r="H12" s="296"/>
      <c r="I12" s="296"/>
      <c r="J12" s="181"/>
    </row>
    <row r="13" spans="2:9" ht="9" customHeight="1">
      <c r="B13" s="537"/>
      <c r="C13" s="549"/>
      <c r="D13" s="546"/>
      <c r="E13" s="184"/>
      <c r="F13" s="296"/>
      <c r="G13" s="296"/>
      <c r="H13" s="296"/>
      <c r="I13" s="296"/>
    </row>
    <row r="14" spans="2:9" ht="9.75" customHeight="1">
      <c r="B14" s="200"/>
      <c r="C14" s="201"/>
      <c r="D14" s="202"/>
      <c r="F14" s="296"/>
      <c r="G14" s="296"/>
      <c r="H14" s="296"/>
      <c r="I14" s="296"/>
    </row>
    <row r="15" spans="2:9" ht="16.5">
      <c r="B15" s="313" t="s">
        <v>134</v>
      </c>
      <c r="C15" s="316">
        <f>+C16</f>
        <v>11274.87652</v>
      </c>
      <c r="D15" s="316">
        <f>+D16</f>
        <v>41953.81553</v>
      </c>
      <c r="F15" s="296"/>
      <c r="G15" s="300"/>
      <c r="H15" s="300"/>
      <c r="I15" s="296"/>
    </row>
    <row r="16" spans="2:9" ht="15">
      <c r="B16" s="22" t="s">
        <v>85</v>
      </c>
      <c r="C16" s="317">
        <v>11274.87652</v>
      </c>
      <c r="D16" s="317">
        <f>ROUND(+C16*$E$9,5)</f>
        <v>41953.81553</v>
      </c>
      <c r="E16" s="465"/>
      <c r="F16" s="296"/>
      <c r="G16" s="300"/>
      <c r="H16" s="300"/>
      <c r="I16" s="296"/>
    </row>
    <row r="17" spans="2:9" ht="15">
      <c r="B17" s="22"/>
      <c r="C17" s="317"/>
      <c r="D17" s="317"/>
      <c r="F17" s="296"/>
      <c r="G17" s="300"/>
      <c r="H17" s="300"/>
      <c r="I17" s="296"/>
    </row>
    <row r="18" spans="2:9" ht="16.5">
      <c r="B18" s="61" t="s">
        <v>108</v>
      </c>
      <c r="C18" s="316">
        <f>SUM(C19:C21)</f>
        <v>961204.9934800001</v>
      </c>
      <c r="D18" s="316">
        <f>SUM(D19:D21)</f>
        <v>3576643.78074</v>
      </c>
      <c r="E18" s="312"/>
      <c r="F18" s="296" t="s">
        <v>118</v>
      </c>
      <c r="G18" s="299">
        <f>+C19+C48</f>
        <v>396592.77408999996</v>
      </c>
      <c r="H18" s="299">
        <f>+D19+D48</f>
        <v>1475721.71239</v>
      </c>
      <c r="I18" s="296"/>
    </row>
    <row r="19" spans="2:9" ht="15">
      <c r="B19" s="22" t="s">
        <v>89</v>
      </c>
      <c r="C19" s="317">
        <v>374431.20161</v>
      </c>
      <c r="D19" s="317">
        <f>ROUND(+C19*$E$9,5)</f>
        <v>1393258.50119</v>
      </c>
      <c r="E19" s="465"/>
      <c r="F19" s="296"/>
      <c r="G19" s="300"/>
      <c r="H19" s="300"/>
      <c r="I19" s="296"/>
    </row>
    <row r="20" spans="2:9" ht="15">
      <c r="B20" s="22" t="s">
        <v>85</v>
      </c>
      <c r="C20" s="317">
        <v>570922.83527</v>
      </c>
      <c r="D20" s="317">
        <f>ROUND(+C20*$E$9,5)</f>
        <v>2124403.87004</v>
      </c>
      <c r="E20" s="465"/>
      <c r="F20" s="296"/>
      <c r="G20" s="300"/>
      <c r="H20" s="300"/>
      <c r="I20" s="296"/>
    </row>
    <row r="21" spans="2:9" ht="15">
      <c r="B21" s="22" t="s">
        <v>215</v>
      </c>
      <c r="C21" s="317">
        <v>15850.9566</v>
      </c>
      <c r="D21" s="317">
        <f>ROUND(+C21*$E$9,5)</f>
        <v>58981.40951</v>
      </c>
      <c r="F21" s="296"/>
      <c r="G21" s="301"/>
      <c r="H21" s="296"/>
      <c r="I21" s="296"/>
    </row>
    <row r="22" spans="2:9" ht="9.75" customHeight="1">
      <c r="B22" s="23"/>
      <c r="C22" s="318"/>
      <c r="D22" s="318"/>
      <c r="F22" s="296"/>
      <c r="G22" s="296"/>
      <c r="H22" s="296"/>
      <c r="I22" s="296"/>
    </row>
    <row r="23" spans="2:9" ht="15" customHeight="1">
      <c r="B23" s="538" t="s">
        <v>14</v>
      </c>
      <c r="C23" s="542">
        <f>+C18+C15</f>
        <v>972479.8700000001</v>
      </c>
      <c r="D23" s="542">
        <f>+D18+D15</f>
        <v>3618597.5962699996</v>
      </c>
      <c r="F23" s="296"/>
      <c r="G23" s="301"/>
      <c r="H23" s="301"/>
      <c r="I23" s="296"/>
    </row>
    <row r="24" spans="2:4" ht="15" customHeight="1">
      <c r="B24" s="539"/>
      <c r="C24" s="543"/>
      <c r="D24" s="543"/>
    </row>
    <row r="25" spans="2:4" ht="4.5" customHeight="1">
      <c r="B25" s="24"/>
      <c r="C25" s="25"/>
      <c r="D25" s="25"/>
    </row>
    <row r="26" spans="2:4" ht="15">
      <c r="B26" s="26" t="s">
        <v>135</v>
      </c>
      <c r="C26" s="461"/>
      <c r="D26" s="461"/>
    </row>
    <row r="27" spans="2:4" ht="15">
      <c r="B27" s="26" t="s">
        <v>136</v>
      </c>
      <c r="C27" s="27"/>
      <c r="D27" s="27"/>
    </row>
    <row r="28" spans="2:4" ht="15">
      <c r="B28" s="26" t="s">
        <v>137</v>
      </c>
      <c r="C28" s="461"/>
      <c r="D28" s="27"/>
    </row>
    <row r="29" spans="2:5" ht="15">
      <c r="B29" s="26" t="s">
        <v>216</v>
      </c>
      <c r="C29" s="443"/>
      <c r="D29" s="302"/>
      <c r="E29" s="303"/>
    </row>
    <row r="30" spans="3:5" ht="15">
      <c r="C30" s="443"/>
      <c r="D30" s="302"/>
      <c r="E30" s="303"/>
    </row>
    <row r="31" ht="15">
      <c r="C31" s="278"/>
    </row>
    <row r="32" spans="3:4" ht="15">
      <c r="C32" s="279"/>
      <c r="D32" s="280"/>
    </row>
    <row r="34" spans="2:5" ht="18.75">
      <c r="B34" s="46" t="s">
        <v>102</v>
      </c>
      <c r="C34" s="58"/>
      <c r="D34" s="58"/>
      <c r="E34" s="173"/>
    </row>
    <row r="35" spans="2:4" ht="18">
      <c r="B35" s="138" t="s">
        <v>242</v>
      </c>
      <c r="C35" s="138"/>
      <c r="D35" s="138"/>
    </row>
    <row r="36" spans="2:4" ht="15" customHeight="1">
      <c r="B36" s="136" t="s">
        <v>66</v>
      </c>
      <c r="C36" s="136"/>
      <c r="D36" s="136"/>
    </row>
    <row r="37" spans="2:4" ht="16.5" customHeight="1">
      <c r="B37" s="136" t="s">
        <v>122</v>
      </c>
      <c r="C37" s="136"/>
      <c r="D37" s="136"/>
    </row>
    <row r="38" spans="2:4" ht="16.5" customHeight="1">
      <c r="B38" s="328" t="str">
        <f>+B9</f>
        <v>Al 31 de marzo de 2024</v>
      </c>
      <c r="C38" s="328"/>
      <c r="D38" s="56"/>
    </row>
    <row r="39" spans="2:4" ht="8.25" customHeight="1">
      <c r="B39" s="18"/>
      <c r="C39" s="18"/>
      <c r="D39" s="18"/>
    </row>
    <row r="40" spans="2:4" ht="15" customHeight="1">
      <c r="B40" s="535" t="s">
        <v>125</v>
      </c>
      <c r="C40" s="547" t="s">
        <v>53</v>
      </c>
      <c r="D40" s="544" t="s">
        <v>130</v>
      </c>
    </row>
    <row r="41" spans="2:7" ht="13.5" customHeight="1">
      <c r="B41" s="536"/>
      <c r="C41" s="548"/>
      <c r="D41" s="545"/>
      <c r="E41" s="173"/>
      <c r="G41" s="174"/>
    </row>
    <row r="42" spans="2:4" ht="9" customHeight="1">
      <c r="B42" s="537"/>
      <c r="C42" s="549"/>
      <c r="D42" s="546"/>
    </row>
    <row r="43" spans="2:4" ht="9.75" customHeight="1">
      <c r="B43" s="20"/>
      <c r="C43" s="21"/>
      <c r="D43" s="28"/>
    </row>
    <row r="44" spans="2:9" ht="21" customHeight="1">
      <c r="B44" s="59" t="s">
        <v>65</v>
      </c>
      <c r="C44" s="319">
        <v>0</v>
      </c>
      <c r="D44" s="319">
        <v>0</v>
      </c>
      <c r="I44" s="175"/>
    </row>
    <row r="45" spans="2:4" ht="15" customHeight="1">
      <c r="B45" s="60"/>
      <c r="C45" s="320"/>
      <c r="D45" s="320"/>
    </row>
    <row r="46" spans="2:7" ht="21" customHeight="1">
      <c r="B46" s="61" t="s">
        <v>74</v>
      </c>
      <c r="C46" s="319">
        <f>SUM(C47:C49)</f>
        <v>22161.57248</v>
      </c>
      <c r="D46" s="319">
        <f>SUM(D47:D49)</f>
        <v>82463.2112</v>
      </c>
      <c r="G46" s="175"/>
    </row>
    <row r="47" spans="2:4" ht="15">
      <c r="B47" s="22" t="s">
        <v>89</v>
      </c>
      <c r="C47" s="321">
        <v>0</v>
      </c>
      <c r="D47" s="321">
        <f>ROUND(+C47*$E$9,5)</f>
        <v>0</v>
      </c>
    </row>
    <row r="48" spans="2:4" ht="15">
      <c r="B48" s="22" t="s">
        <v>85</v>
      </c>
      <c r="C48" s="321">
        <v>22161.57248</v>
      </c>
      <c r="D48" s="321">
        <f>ROUND(+C48*$E$9,5)</f>
        <v>82463.2112</v>
      </c>
    </row>
    <row r="49" spans="2:4" ht="15">
      <c r="B49" s="22" t="s">
        <v>217</v>
      </c>
      <c r="C49" s="463">
        <v>0</v>
      </c>
      <c r="D49" s="317">
        <f>ROUND(+C49*$E$9,5)</f>
        <v>0</v>
      </c>
    </row>
    <row r="50" spans="2:4" ht="9.75" customHeight="1">
      <c r="B50" s="23"/>
      <c r="C50" s="320"/>
      <c r="D50" s="320"/>
    </row>
    <row r="51" spans="2:4" ht="15" customHeight="1">
      <c r="B51" s="538" t="s">
        <v>14</v>
      </c>
      <c r="C51" s="540">
        <f>+C46+C44</f>
        <v>22161.57248</v>
      </c>
      <c r="D51" s="540">
        <f>+D46+D44</f>
        <v>82463.2112</v>
      </c>
    </row>
    <row r="52" spans="2:7" ht="15" customHeight="1">
      <c r="B52" s="539"/>
      <c r="C52" s="541"/>
      <c r="D52" s="541"/>
      <c r="G52" s="176"/>
    </row>
    <row r="53" spans="2:4" ht="6" customHeight="1">
      <c r="B53" s="24"/>
      <c r="C53" s="25"/>
      <c r="D53" s="25"/>
    </row>
    <row r="54" spans="2:4" ht="15">
      <c r="B54" s="26" t="s">
        <v>218</v>
      </c>
      <c r="C54" s="443"/>
      <c r="D54" s="443"/>
    </row>
    <row r="55" spans="3:4" ht="15">
      <c r="C55" s="443"/>
      <c r="D55" s="323"/>
    </row>
    <row r="56" ht="15">
      <c r="C56" s="281"/>
    </row>
    <row r="57" ht="15">
      <c r="C57" s="277"/>
    </row>
  </sheetData>
  <sheetProtection/>
  <mergeCells count="13">
    <mergeCell ref="D11:D13"/>
    <mergeCell ref="B23:B24"/>
    <mergeCell ref="C11:C13"/>
    <mergeCell ref="F5:H5"/>
    <mergeCell ref="B11:B13"/>
    <mergeCell ref="B51:B52"/>
    <mergeCell ref="C51:C52"/>
    <mergeCell ref="D51:D52"/>
    <mergeCell ref="D23:D24"/>
    <mergeCell ref="D40:D42"/>
    <mergeCell ref="B40:B42"/>
    <mergeCell ref="C40:C42"/>
    <mergeCell ref="C23:C24"/>
  </mergeCells>
  <printOptions/>
  <pageMargins left="1.220472440944882" right="0.7086614173228347" top="0.984251968503937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L33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7" customWidth="1"/>
    <col min="2" max="2" width="42.7109375" style="19" customWidth="1"/>
    <col min="3" max="4" width="19.7109375" style="63" customWidth="1"/>
    <col min="5" max="5" width="9.28125" style="127" customWidth="1"/>
    <col min="6" max="6" width="13.57421875" style="63" bestFit="1" customWidth="1"/>
    <col min="7" max="7" width="17.28125" style="63" customWidth="1"/>
    <col min="8" max="11" width="11.421875" style="63" customWidth="1"/>
    <col min="12" max="16" width="11.421875" style="19" customWidth="1"/>
    <col min="17" max="16384" width="11.421875" style="17" customWidth="1"/>
  </cols>
  <sheetData>
    <row r="1" ht="15"/>
    <row r="2" ht="15"/>
    <row r="3" ht="15"/>
    <row r="4" ht="15">
      <c r="B4" s="63"/>
    </row>
    <row r="5" spans="2:12" ht="18">
      <c r="B5" s="86" t="s">
        <v>18</v>
      </c>
      <c r="C5" s="86"/>
      <c r="D5" s="86"/>
      <c r="F5" s="254"/>
      <c r="G5" s="254"/>
      <c r="H5" s="254"/>
      <c r="I5" s="254"/>
      <c r="J5" s="254"/>
      <c r="L5" s="255"/>
    </row>
    <row r="6" spans="2:12" ht="18" customHeight="1">
      <c r="B6" s="138" t="s">
        <v>243</v>
      </c>
      <c r="C6" s="138"/>
      <c r="D6" s="138"/>
      <c r="G6" s="254"/>
      <c r="I6" s="254"/>
      <c r="J6" s="254"/>
      <c r="L6" s="255"/>
    </row>
    <row r="7" spans="2:12" ht="15.75" customHeight="1">
      <c r="B7" s="136" t="s">
        <v>79</v>
      </c>
      <c r="C7" s="136"/>
      <c r="D7" s="136"/>
      <c r="F7" s="254"/>
      <c r="G7" s="254"/>
      <c r="H7" s="254"/>
      <c r="I7" s="254"/>
      <c r="J7" s="254"/>
      <c r="L7" s="255"/>
    </row>
    <row r="8" spans="2:12" ht="15.75">
      <c r="B8" s="329" t="str">
        <f>+'DGRGL-C1'!B9</f>
        <v>Al 31 de marzo de 2024</v>
      </c>
      <c r="C8" s="329"/>
      <c r="D8" s="269"/>
      <c r="E8" s="315">
        <f>+Portada!I34</f>
        <v>3.721</v>
      </c>
      <c r="F8" s="254"/>
      <c r="G8" s="254"/>
      <c r="H8" s="254"/>
      <c r="I8" s="254"/>
      <c r="J8" s="254"/>
      <c r="L8" s="255"/>
    </row>
    <row r="9" spans="2:12" ht="9" customHeight="1">
      <c r="B9" s="87"/>
      <c r="C9" s="87"/>
      <c r="D9" s="87"/>
      <c r="F9" s="254"/>
      <c r="G9" s="254"/>
      <c r="H9" s="254"/>
      <c r="I9" s="254"/>
      <c r="J9" s="254"/>
      <c r="L9" s="255"/>
    </row>
    <row r="10" spans="2:12" ht="15" customHeight="1">
      <c r="B10" s="552" t="s">
        <v>121</v>
      </c>
      <c r="C10" s="547" t="s">
        <v>53</v>
      </c>
      <c r="D10" s="544" t="s">
        <v>130</v>
      </c>
      <c r="E10" s="63"/>
      <c r="F10" s="254"/>
      <c r="G10" s="254"/>
      <c r="H10" s="254"/>
      <c r="I10" s="254"/>
      <c r="J10" s="254"/>
      <c r="L10" s="255"/>
    </row>
    <row r="11" spans="2:12" ht="13.5" customHeight="1">
      <c r="B11" s="553"/>
      <c r="C11" s="548"/>
      <c r="D11" s="545"/>
      <c r="E11" s="86"/>
      <c r="F11" s="254"/>
      <c r="G11" s="254"/>
      <c r="H11" s="254"/>
      <c r="I11" s="254"/>
      <c r="J11" s="254"/>
      <c r="L11" s="255"/>
    </row>
    <row r="12" spans="2:12" ht="9" customHeight="1">
      <c r="B12" s="554"/>
      <c r="C12" s="549"/>
      <c r="D12" s="546"/>
      <c r="E12" s="63"/>
      <c r="F12" s="254"/>
      <c r="G12" s="254"/>
      <c r="H12" s="254"/>
      <c r="I12" s="254"/>
      <c r="J12" s="254"/>
      <c r="L12" s="255"/>
    </row>
    <row r="13" spans="2:12" ht="9.75" customHeight="1">
      <c r="B13" s="129"/>
      <c r="C13" s="106"/>
      <c r="D13" s="203"/>
      <c r="F13" s="254"/>
      <c r="G13" s="254"/>
      <c r="H13" s="254"/>
      <c r="I13" s="254"/>
      <c r="J13" s="254"/>
      <c r="L13" s="255"/>
    </row>
    <row r="14" spans="2:12" ht="15.75" customHeight="1">
      <c r="B14" s="198" t="s">
        <v>50</v>
      </c>
      <c r="C14" s="324">
        <f>SUM(C15:C17)</f>
        <v>972479.8700000001</v>
      </c>
      <c r="D14" s="324">
        <f>SUM(D15:D17)</f>
        <v>3618597.59627</v>
      </c>
      <c r="F14" s="454"/>
      <c r="G14" s="304"/>
      <c r="H14" s="304"/>
      <c r="I14" s="254"/>
      <c r="J14" s="254"/>
      <c r="L14" s="255"/>
    </row>
    <row r="15" spans="2:12" ht="16.5" customHeight="1">
      <c r="B15" s="353" t="s">
        <v>86</v>
      </c>
      <c r="C15" s="325">
        <f>+'DGRGL-C1'!C19</f>
        <v>374431.20161</v>
      </c>
      <c r="D15" s="325">
        <f>ROUND(+C15*$E$8,5)</f>
        <v>1393258.50119</v>
      </c>
      <c r="E15" s="448"/>
      <c r="F15" s="455"/>
      <c r="G15" s="305"/>
      <c r="H15" s="304"/>
      <c r="I15" s="254"/>
      <c r="J15" s="254"/>
      <c r="L15" s="255"/>
    </row>
    <row r="16" spans="2:12" ht="16.5" customHeight="1">
      <c r="B16" s="353" t="s">
        <v>85</v>
      </c>
      <c r="C16" s="325">
        <f>+'DGRGL-C1'!C16+'DGRGL-C1'!C20</f>
        <v>582197.7117900001</v>
      </c>
      <c r="D16" s="325">
        <f>ROUND(+C16*$E$8,5)</f>
        <v>2166357.68557</v>
      </c>
      <c r="E16" s="448"/>
      <c r="F16" s="455"/>
      <c r="G16" s="254"/>
      <c r="H16" s="254"/>
      <c r="I16" s="254"/>
      <c r="J16" s="254"/>
      <c r="L16" s="255"/>
    </row>
    <row r="17" spans="2:12" ht="16.5" customHeight="1">
      <c r="B17" s="353" t="s">
        <v>217</v>
      </c>
      <c r="C17" s="463">
        <f>+'DGRGL-C1'!C21</f>
        <v>15850.9566</v>
      </c>
      <c r="D17" s="325">
        <f>ROUND(+C17*$E$8,5)</f>
        <v>58981.40951</v>
      </c>
      <c r="E17" s="448"/>
      <c r="F17" s="455"/>
      <c r="G17" s="254"/>
      <c r="H17" s="254"/>
      <c r="I17" s="254"/>
      <c r="J17" s="254"/>
      <c r="L17" s="255"/>
    </row>
    <row r="18" spans="2:12" ht="15" customHeight="1">
      <c r="B18" s="34"/>
      <c r="C18" s="325"/>
      <c r="D18" s="327"/>
      <c r="E18" s="307"/>
      <c r="F18" s="455"/>
      <c r="G18" s="254"/>
      <c r="H18" s="254"/>
      <c r="I18" s="254"/>
      <c r="J18" s="254"/>
      <c r="L18" s="255"/>
    </row>
    <row r="19" spans="2:12" ht="16.5" customHeight="1">
      <c r="B19" s="32" t="s">
        <v>49</v>
      </c>
      <c r="C19" s="324">
        <f>SUM(C20:C22)</f>
        <v>22161.57248</v>
      </c>
      <c r="D19" s="324">
        <f>SUM(D20:D22)</f>
        <v>82463.2112</v>
      </c>
      <c r="E19" s="307"/>
      <c r="F19" s="455"/>
      <c r="G19" s="306"/>
      <c r="H19" s="254"/>
      <c r="I19" s="254"/>
      <c r="J19" s="254"/>
      <c r="L19" s="255"/>
    </row>
    <row r="20" spans="2:12" ht="16.5" customHeight="1">
      <c r="B20" s="353" t="s">
        <v>86</v>
      </c>
      <c r="C20" s="351">
        <f>+'DGRGL-C1'!C47</f>
        <v>0</v>
      </c>
      <c r="D20" s="351">
        <f>ROUND(+C20*$E$8,5)</f>
        <v>0</v>
      </c>
      <c r="E20" s="307"/>
      <c r="F20" s="455"/>
      <c r="G20" s="254"/>
      <c r="I20" s="254"/>
      <c r="L20" s="255"/>
    </row>
    <row r="21" spans="2:12" ht="16.5" customHeight="1">
      <c r="B21" s="353" t="s">
        <v>85</v>
      </c>
      <c r="C21" s="325">
        <f>+'DGRGL-C1'!C48</f>
        <v>22161.57248</v>
      </c>
      <c r="D21" s="325">
        <f>ROUND(+C21*$E$8,5)</f>
        <v>82463.2112</v>
      </c>
      <c r="E21" s="307"/>
      <c r="F21" s="455"/>
      <c r="G21" s="254"/>
      <c r="I21" s="254"/>
      <c r="L21" s="255"/>
    </row>
    <row r="22" spans="2:12" ht="16.5" customHeight="1">
      <c r="B22" s="353" t="s">
        <v>217</v>
      </c>
      <c r="C22" s="351">
        <f>+'DGRGL-C1'!C49</f>
        <v>0</v>
      </c>
      <c r="D22" s="351">
        <f>ROUND(+C22*$E$8,5)</f>
        <v>0</v>
      </c>
      <c r="E22" s="307"/>
      <c r="F22" s="455"/>
      <c r="G22" s="305"/>
      <c r="H22" s="254"/>
      <c r="I22" s="254"/>
      <c r="J22" s="254"/>
      <c r="L22" s="255"/>
    </row>
    <row r="23" spans="2:12" ht="9.75" customHeight="1">
      <c r="B23" s="35"/>
      <c r="C23" s="326"/>
      <c r="D23" s="326"/>
      <c r="E23" s="307"/>
      <c r="F23" s="254"/>
      <c r="G23" s="254"/>
      <c r="H23" s="254"/>
      <c r="I23" s="254"/>
      <c r="J23" s="254"/>
      <c r="L23" s="255"/>
    </row>
    <row r="24" spans="2:12" ht="15" customHeight="1">
      <c r="B24" s="555" t="s">
        <v>57</v>
      </c>
      <c r="C24" s="550">
        <f>+C19+C14</f>
        <v>994641.4424800001</v>
      </c>
      <c r="D24" s="550">
        <f>+D19+D14</f>
        <v>3701060.80747</v>
      </c>
      <c r="F24" s="254"/>
      <c r="G24" s="254"/>
      <c r="H24" s="254"/>
      <c r="I24" s="254"/>
      <c r="J24" s="254"/>
      <c r="L24" s="255"/>
    </row>
    <row r="25" spans="2:12" ht="15" customHeight="1">
      <c r="B25" s="556"/>
      <c r="C25" s="551"/>
      <c r="D25" s="551"/>
      <c r="F25" s="254"/>
      <c r="G25" s="254"/>
      <c r="H25" s="254"/>
      <c r="I25" s="254"/>
      <c r="J25" s="254"/>
      <c r="L25" s="255"/>
    </row>
    <row r="26" spans="2:12" ht="6.75" customHeight="1">
      <c r="B26" s="36"/>
      <c r="C26" s="282"/>
      <c r="D26" s="282"/>
      <c r="F26" s="254"/>
      <c r="G26" s="254"/>
      <c r="H26" s="254"/>
      <c r="I26" s="254"/>
      <c r="J26" s="254"/>
      <c r="L26" s="255"/>
    </row>
    <row r="27" spans="2:10" ht="15">
      <c r="B27" s="26" t="s">
        <v>218</v>
      </c>
      <c r="C27" s="491"/>
      <c r="D27" s="449"/>
      <c r="F27" s="258"/>
      <c r="G27" s="258"/>
      <c r="H27" s="254"/>
      <c r="I27" s="254"/>
      <c r="J27" s="310"/>
    </row>
    <row r="28" spans="3:12" ht="15">
      <c r="C28" s="457"/>
      <c r="D28" s="457"/>
      <c r="F28" s="254"/>
      <c r="G28" s="254"/>
      <c r="H28" s="254"/>
      <c r="I28" s="254"/>
      <c r="J28" s="254"/>
      <c r="L28" s="309"/>
    </row>
    <row r="29" spans="3:12" ht="15">
      <c r="C29" s="283"/>
      <c r="F29" s="254"/>
      <c r="H29" s="254"/>
      <c r="I29" s="254"/>
      <c r="J29" s="254"/>
      <c r="L29" s="311"/>
    </row>
    <row r="30" spans="3:12" ht="15">
      <c r="C30" s="284"/>
      <c r="F30" s="254"/>
      <c r="G30" s="254"/>
      <c r="H30" s="254"/>
      <c r="I30" s="254"/>
      <c r="J30" s="254"/>
      <c r="L30" s="255"/>
    </row>
    <row r="31" spans="6:12" ht="15">
      <c r="F31" s="254"/>
      <c r="G31" s="254"/>
      <c r="H31" s="254"/>
      <c r="I31" s="254"/>
      <c r="J31" s="254"/>
      <c r="L31" s="255"/>
    </row>
    <row r="32" spans="6:12" ht="15">
      <c r="F32" s="254"/>
      <c r="G32" s="254"/>
      <c r="H32" s="254"/>
      <c r="I32" s="254"/>
      <c r="J32" s="254"/>
      <c r="L32" s="255"/>
    </row>
    <row r="33" ht="15">
      <c r="L33" s="255"/>
    </row>
  </sheetData>
  <sheetProtection/>
  <mergeCells count="6">
    <mergeCell ref="C10:C12"/>
    <mergeCell ref="D10:D12"/>
    <mergeCell ref="C24:C25"/>
    <mergeCell ref="B10:B12"/>
    <mergeCell ref="B24:B25"/>
    <mergeCell ref="D24:D25"/>
  </mergeCells>
  <printOptions/>
  <pageMargins left="1.299212598425197" right="0.7086614173228347" top="0.9448818897637796" bottom="0.7480314960629921" header="0.31496062992125984" footer="0.31496062992125984"/>
  <pageSetup fitToHeight="0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L69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2.7109375" style="19" customWidth="1"/>
    <col min="3" max="4" width="19.7109375" style="19" customWidth="1"/>
    <col min="5" max="5" width="15.140625" style="19" customWidth="1"/>
    <col min="6" max="6" width="14.28125" style="19" bestFit="1" customWidth="1"/>
    <col min="7" max="7" width="15.8515625" style="19" customWidth="1"/>
    <col min="8" max="8" width="17.00390625" style="19" customWidth="1"/>
    <col min="9" max="9" width="21.140625" style="19" customWidth="1"/>
    <col min="10" max="15" width="11.421875" style="19" customWidth="1"/>
    <col min="16" max="16384" width="11.421875" style="17" customWidth="1"/>
  </cols>
  <sheetData>
    <row r="1" ht="15"/>
    <row r="2" ht="15"/>
    <row r="3" spans="2:6" ht="15">
      <c r="B3" s="63"/>
      <c r="C3" s="63"/>
      <c r="D3" s="63"/>
      <c r="E3" s="63"/>
      <c r="F3" s="63"/>
    </row>
    <row r="4" spans="2:6" ht="15">
      <c r="B4" s="63"/>
      <c r="C4" s="63"/>
      <c r="D4" s="63"/>
      <c r="E4" s="63"/>
      <c r="F4" s="63"/>
    </row>
    <row r="5" spans="2:9" ht="18">
      <c r="B5" s="86" t="s">
        <v>19</v>
      </c>
      <c r="C5" s="86"/>
      <c r="D5" s="86"/>
      <c r="E5" s="63"/>
      <c r="F5" s="63"/>
      <c r="G5" s="255"/>
      <c r="H5" s="255"/>
      <c r="I5" s="255"/>
    </row>
    <row r="6" spans="2:12" ht="18" customHeight="1">
      <c r="B6" s="138" t="s">
        <v>242</v>
      </c>
      <c r="C6" s="138"/>
      <c r="D6" s="138"/>
      <c r="E6" s="138"/>
      <c r="G6" s="254"/>
      <c r="I6" s="254"/>
      <c r="J6" s="63"/>
      <c r="K6" s="63"/>
      <c r="L6" s="63"/>
    </row>
    <row r="7" spans="2:12" ht="15.75">
      <c r="B7" s="136" t="s">
        <v>64</v>
      </c>
      <c r="C7" s="136"/>
      <c r="D7" s="136"/>
      <c r="E7" s="63"/>
      <c r="F7" s="63"/>
      <c r="G7" s="254"/>
      <c r="H7" s="254"/>
      <c r="I7" s="254"/>
      <c r="J7" s="63"/>
      <c r="K7" s="63"/>
      <c r="L7" s="63"/>
    </row>
    <row r="8" spans="2:12" ht="15.75">
      <c r="B8" s="334" t="s">
        <v>54</v>
      </c>
      <c r="C8" s="334"/>
      <c r="D8" s="334"/>
      <c r="E8" s="63"/>
      <c r="F8" s="63"/>
      <c r="G8" s="254"/>
      <c r="H8" s="254"/>
      <c r="I8" s="254"/>
      <c r="J8" s="63"/>
      <c r="K8" s="63"/>
      <c r="L8" s="63"/>
    </row>
    <row r="9" spans="2:12" ht="15.75">
      <c r="B9" s="329" t="str">
        <f>+'DGRGL-C1'!B9</f>
        <v>Al 31 de marzo de 2024</v>
      </c>
      <c r="C9" s="329"/>
      <c r="D9" s="270"/>
      <c r="E9" s="315">
        <f>+Portada!I34</f>
        <v>3.721</v>
      </c>
      <c r="F9" s="63"/>
      <c r="G9" s="254"/>
      <c r="H9" s="254"/>
      <c r="I9" s="254"/>
      <c r="J9" s="63"/>
      <c r="K9" s="63"/>
      <c r="L9" s="63"/>
    </row>
    <row r="10" spans="2:12" ht="6.75" customHeight="1">
      <c r="B10" s="128"/>
      <c r="C10" s="128"/>
      <c r="D10" s="128"/>
      <c r="E10" s="63"/>
      <c r="F10" s="63"/>
      <c r="G10" s="63"/>
      <c r="H10" s="63"/>
      <c r="I10" s="63"/>
      <c r="J10" s="63"/>
      <c r="K10" s="63"/>
      <c r="L10" s="63"/>
    </row>
    <row r="11" spans="2:12" ht="15" customHeight="1">
      <c r="B11" s="535" t="s">
        <v>246</v>
      </c>
      <c r="C11" s="547" t="s">
        <v>53</v>
      </c>
      <c r="D11" s="544" t="s">
        <v>130</v>
      </c>
      <c r="E11" s="63"/>
      <c r="F11" s="63"/>
      <c r="G11" s="63"/>
      <c r="H11" s="63"/>
      <c r="I11" s="63"/>
      <c r="J11" s="63"/>
      <c r="K11" s="63"/>
      <c r="L11" s="63"/>
    </row>
    <row r="12" spans="2:12" ht="13.5" customHeight="1">
      <c r="B12" s="536"/>
      <c r="C12" s="548"/>
      <c r="D12" s="545"/>
      <c r="E12" s="86"/>
      <c r="F12" s="63"/>
      <c r="G12" s="182"/>
      <c r="H12" s="63"/>
      <c r="I12" s="63"/>
      <c r="J12" s="63"/>
      <c r="K12" s="63"/>
      <c r="L12" s="63"/>
    </row>
    <row r="13" spans="2:12" ht="9" customHeight="1">
      <c r="B13" s="537"/>
      <c r="C13" s="549"/>
      <c r="D13" s="546"/>
      <c r="E13" s="63"/>
      <c r="F13" s="63"/>
      <c r="G13" s="63"/>
      <c r="H13" s="63"/>
      <c r="I13" s="63"/>
      <c r="J13" s="63"/>
      <c r="K13" s="63"/>
      <c r="L13" s="63"/>
    </row>
    <row r="14" spans="2:6" ht="9.75" customHeight="1">
      <c r="B14" s="129"/>
      <c r="C14" s="106"/>
      <c r="D14" s="106"/>
      <c r="E14" s="63"/>
      <c r="F14" s="63"/>
    </row>
    <row r="15" spans="2:8" ht="16.5">
      <c r="B15" s="198" t="s">
        <v>393</v>
      </c>
      <c r="C15" s="330">
        <f>+C16</f>
        <v>323837.67804</v>
      </c>
      <c r="D15" s="330">
        <f>+D16</f>
        <v>1204999.9999868402</v>
      </c>
      <c r="E15" s="63"/>
      <c r="H15" s="209"/>
    </row>
    <row r="16" spans="2:5" ht="15.75">
      <c r="B16" s="353" t="s">
        <v>85</v>
      </c>
      <c r="C16" s="331">
        <v>323837.67804</v>
      </c>
      <c r="D16" s="331">
        <f>+C16*$E$9</f>
        <v>1204999.9999868402</v>
      </c>
      <c r="E16" s="63"/>
    </row>
    <row r="17" spans="2:5" ht="15" customHeight="1">
      <c r="B17" s="199"/>
      <c r="C17" s="331"/>
      <c r="D17" s="331"/>
      <c r="E17" s="63"/>
    </row>
    <row r="18" spans="2:6" ht="16.5">
      <c r="B18" s="198" t="s">
        <v>391</v>
      </c>
      <c r="C18" s="330">
        <f>SUM(C19:C21)</f>
        <v>648642.1919600001</v>
      </c>
      <c r="D18" s="330">
        <f>SUM(D19:D21)</f>
        <v>2413597.59628</v>
      </c>
      <c r="E18" s="113"/>
      <c r="F18" s="113"/>
    </row>
    <row r="19" spans="2:4" ht="15.75">
      <c r="B19" s="353" t="s">
        <v>87</v>
      </c>
      <c r="C19" s="463">
        <f>+'DGRGL-C1'!C19</f>
        <v>374431.20161</v>
      </c>
      <c r="D19" s="331">
        <f>ROUND(+C19*$E$9,5)</f>
        <v>1393258.50119</v>
      </c>
    </row>
    <row r="20" spans="2:5" ht="15.75">
      <c r="B20" s="353" t="s">
        <v>85</v>
      </c>
      <c r="C20" s="325">
        <f>+'DGRGL-C1'!C16+'DGRGL-C1'!C20-C16</f>
        <v>258360.03375000006</v>
      </c>
      <c r="D20" s="331">
        <f>ROUND(+C20*$E$9,5)</f>
        <v>961357.68558</v>
      </c>
      <c r="E20" s="450"/>
    </row>
    <row r="21" spans="2:5" ht="15.75">
      <c r="B21" s="353" t="s">
        <v>215</v>
      </c>
      <c r="C21" s="463">
        <f>+'DGRGL-C1'!C21</f>
        <v>15850.9566</v>
      </c>
      <c r="D21" s="331">
        <f>ROUND(+C21*$E$9,5)</f>
        <v>58981.40951</v>
      </c>
      <c r="E21" s="278"/>
    </row>
    <row r="22" spans="2:4" ht="9.75" customHeight="1">
      <c r="B22" s="33"/>
      <c r="C22" s="332"/>
      <c r="D22" s="331"/>
    </row>
    <row r="23" spans="2:8" ht="15" customHeight="1">
      <c r="B23" s="555" t="s">
        <v>57</v>
      </c>
      <c r="C23" s="557">
        <f>+C18+C15</f>
        <v>972479.8700000001</v>
      </c>
      <c r="D23" s="557">
        <f>+D18+D15</f>
        <v>3618597.5962668406</v>
      </c>
      <c r="G23" s="177"/>
      <c r="H23" s="177"/>
    </row>
    <row r="24" spans="2:8" ht="15" customHeight="1">
      <c r="B24" s="556"/>
      <c r="C24" s="558"/>
      <c r="D24" s="558"/>
      <c r="G24" s="177"/>
      <c r="H24" s="177"/>
    </row>
    <row r="25" spans="2:4" ht="4.5" customHeight="1">
      <c r="B25" s="559"/>
      <c r="C25" s="559"/>
      <c r="D25" s="559"/>
    </row>
    <row r="26" spans="2:4" ht="15" customHeight="1">
      <c r="B26" s="26" t="s">
        <v>394</v>
      </c>
      <c r="C26" s="466"/>
      <c r="D26" s="39"/>
    </row>
    <row r="27" spans="2:4" ht="15">
      <c r="B27" s="26" t="s">
        <v>392</v>
      </c>
      <c r="C27" s="113"/>
      <c r="D27" s="177"/>
    </row>
    <row r="28" spans="2:8" ht="15">
      <c r="B28" s="26" t="s">
        <v>138</v>
      </c>
      <c r="C28" s="396"/>
      <c r="D28" s="396"/>
      <c r="E28" s="397"/>
      <c r="G28" s="183"/>
      <c r="H28" s="96"/>
    </row>
    <row r="29" spans="2:8" ht="15">
      <c r="B29" s="26" t="s">
        <v>216</v>
      </c>
      <c r="C29" s="398"/>
      <c r="D29" s="398"/>
      <c r="E29" s="397"/>
      <c r="G29" s="177"/>
      <c r="H29" s="177"/>
    </row>
    <row r="30" spans="2:5" ht="15">
      <c r="B30" s="397"/>
      <c r="C30" s="397"/>
      <c r="D30" s="397"/>
      <c r="E30" s="397"/>
    </row>
    <row r="31" spans="2:5" ht="15">
      <c r="B31" s="397"/>
      <c r="C31" s="397"/>
      <c r="D31" s="397"/>
      <c r="E31" s="397"/>
    </row>
    <row r="32" spans="2:4" ht="18">
      <c r="B32" s="46" t="s">
        <v>103</v>
      </c>
      <c r="C32" s="46"/>
      <c r="D32" s="46"/>
    </row>
    <row r="33" spans="2:5" ht="18">
      <c r="B33" s="138" t="s">
        <v>242</v>
      </c>
      <c r="C33" s="138"/>
      <c r="D33" s="138"/>
      <c r="E33" s="138"/>
    </row>
    <row r="34" spans="2:4" ht="15.75">
      <c r="B34" s="136" t="s">
        <v>66</v>
      </c>
      <c r="C34" s="136"/>
      <c r="D34" s="136"/>
    </row>
    <row r="35" spans="2:4" ht="15" customHeight="1">
      <c r="B35" s="334" t="s">
        <v>54</v>
      </c>
      <c r="C35" s="334"/>
      <c r="D35" s="334"/>
    </row>
    <row r="36" spans="2:4" ht="15" customHeight="1">
      <c r="B36" s="329" t="str">
        <f>+B9</f>
        <v>Al 31 de marzo de 2024</v>
      </c>
      <c r="C36" s="329"/>
      <c r="D36" s="57"/>
    </row>
    <row r="37" spans="2:4" ht="9" customHeight="1">
      <c r="B37" s="38"/>
      <c r="C37" s="38"/>
      <c r="D37" s="38"/>
    </row>
    <row r="38" spans="2:4" ht="15" customHeight="1">
      <c r="B38" s="535" t="s">
        <v>126</v>
      </c>
      <c r="C38" s="547" t="s">
        <v>53</v>
      </c>
      <c r="D38" s="544" t="s">
        <v>130</v>
      </c>
    </row>
    <row r="39" spans="2:7" ht="13.5" customHeight="1">
      <c r="B39" s="536"/>
      <c r="C39" s="548"/>
      <c r="D39" s="545"/>
      <c r="E39" s="46"/>
      <c r="G39" s="182"/>
    </row>
    <row r="40" spans="2:4" ht="9" customHeight="1">
      <c r="B40" s="537"/>
      <c r="C40" s="549"/>
      <c r="D40" s="546"/>
    </row>
    <row r="41" spans="2:4" ht="9.75" customHeight="1">
      <c r="B41" s="30"/>
      <c r="C41" s="31"/>
      <c r="D41" s="31"/>
    </row>
    <row r="42" spans="2:4" ht="16.5">
      <c r="B42" s="32" t="s">
        <v>67</v>
      </c>
      <c r="C42" s="330">
        <v>0</v>
      </c>
      <c r="D42" s="330">
        <v>0</v>
      </c>
    </row>
    <row r="43" spans="2:5" ht="15" customHeight="1">
      <c r="B43" s="33"/>
      <c r="C43" s="331"/>
      <c r="D43" s="331"/>
      <c r="E43" s="85"/>
    </row>
    <row r="44" spans="2:8" ht="16.5">
      <c r="B44" s="32" t="s">
        <v>68</v>
      </c>
      <c r="C44" s="330">
        <f>SUM(C45:C47)</f>
        <v>22161.57248</v>
      </c>
      <c r="D44" s="330">
        <f>SUM(D45:D47)</f>
        <v>82463.2112</v>
      </c>
      <c r="E44" s="85"/>
      <c r="G44" s="177"/>
      <c r="H44" s="177"/>
    </row>
    <row r="45" spans="2:5" ht="15.75">
      <c r="B45" s="353" t="s">
        <v>88</v>
      </c>
      <c r="C45" s="463">
        <v>0</v>
      </c>
      <c r="D45" s="331">
        <f>ROUND(+C45*$E$9,5)</f>
        <v>0</v>
      </c>
      <c r="E45" s="40"/>
    </row>
    <row r="46" spans="2:5" ht="15.75">
      <c r="B46" s="353" t="s">
        <v>85</v>
      </c>
      <c r="C46" s="325">
        <f>+'DGRGL-C1'!C48</f>
        <v>22161.57248</v>
      </c>
      <c r="D46" s="331">
        <f>ROUND(+C46*$E$9,5)</f>
        <v>82463.2112</v>
      </c>
      <c r="E46" s="40"/>
    </row>
    <row r="47" spans="2:5" ht="15.75">
      <c r="B47" s="353" t="s">
        <v>217</v>
      </c>
      <c r="C47" s="463">
        <v>0</v>
      </c>
      <c r="D47" s="331">
        <f>ROUND(+C47*$E$9,5)</f>
        <v>0</v>
      </c>
      <c r="E47" s="256"/>
    </row>
    <row r="48" spans="2:5" ht="9.75" customHeight="1">
      <c r="B48" s="37"/>
      <c r="C48" s="333"/>
      <c r="D48" s="333"/>
      <c r="E48" s="85"/>
    </row>
    <row r="49" spans="2:4" ht="15" customHeight="1">
      <c r="B49" s="555" t="s">
        <v>57</v>
      </c>
      <c r="C49" s="557">
        <f>+C44+C42</f>
        <v>22161.57248</v>
      </c>
      <c r="D49" s="557">
        <f>+D44+D42</f>
        <v>82463.2112</v>
      </c>
    </row>
    <row r="50" spans="2:4" ht="15" customHeight="1">
      <c r="B50" s="556"/>
      <c r="C50" s="558"/>
      <c r="D50" s="558"/>
    </row>
    <row r="51" spans="2:4" ht="5.25" customHeight="1">
      <c r="B51" s="560"/>
      <c r="C51" s="560"/>
      <c r="D51" s="560"/>
    </row>
    <row r="52" spans="2:4" ht="15">
      <c r="B52" s="26" t="s">
        <v>218</v>
      </c>
      <c r="C52" s="458"/>
      <c r="D52" s="399"/>
    </row>
    <row r="53" spans="2:4" ht="15.75">
      <c r="B53" s="400"/>
      <c r="C53" s="399"/>
      <c r="D53" s="399"/>
    </row>
    <row r="54" spans="2:4" ht="15.75">
      <c r="B54" s="400"/>
      <c r="C54" s="397"/>
      <c r="D54" s="397"/>
    </row>
    <row r="55" spans="2:4" ht="15">
      <c r="B55" s="397"/>
      <c r="C55" s="397"/>
      <c r="D55" s="397"/>
    </row>
    <row r="56" spans="2:4" ht="15">
      <c r="B56" s="397"/>
      <c r="C56" s="397"/>
      <c r="D56" s="397"/>
    </row>
    <row r="57" spans="2:4" ht="15">
      <c r="B57" s="397"/>
      <c r="C57" s="397"/>
      <c r="D57" s="397"/>
    </row>
    <row r="58" spans="2:4" ht="15">
      <c r="B58" s="397"/>
      <c r="C58" s="397"/>
      <c r="D58" s="397"/>
    </row>
    <row r="59" spans="2:4" ht="15">
      <c r="B59" s="397"/>
      <c r="C59" s="397"/>
      <c r="D59" s="397"/>
    </row>
    <row r="60" spans="2:4" ht="15">
      <c r="B60" s="397"/>
      <c r="C60" s="397"/>
      <c r="D60" s="397"/>
    </row>
    <row r="61" spans="2:4" ht="15">
      <c r="B61" s="397"/>
      <c r="C61" s="397"/>
      <c r="D61" s="397"/>
    </row>
    <row r="62" spans="2:4" ht="15">
      <c r="B62" s="397"/>
      <c r="C62" s="397"/>
      <c r="D62" s="397"/>
    </row>
    <row r="63" spans="2:4" ht="15">
      <c r="B63" s="397"/>
      <c r="C63" s="397"/>
      <c r="D63" s="397"/>
    </row>
    <row r="64" spans="2:4" ht="15">
      <c r="B64" s="397"/>
      <c r="C64" s="397"/>
      <c r="D64" s="397"/>
    </row>
    <row r="65" spans="2:4" ht="15">
      <c r="B65" s="397"/>
      <c r="C65" s="397"/>
      <c r="D65" s="397"/>
    </row>
    <row r="66" spans="2:4" ht="15">
      <c r="B66" s="397"/>
      <c r="C66" s="397"/>
      <c r="D66" s="397"/>
    </row>
    <row r="67" spans="2:4" ht="15">
      <c r="B67" s="397"/>
      <c r="C67" s="397"/>
      <c r="D67" s="397"/>
    </row>
    <row r="68" spans="2:4" ht="15">
      <c r="B68" s="397"/>
      <c r="C68" s="397"/>
      <c r="D68" s="397"/>
    </row>
    <row r="69" spans="2:4" ht="15">
      <c r="B69" s="397"/>
      <c r="C69" s="397"/>
      <c r="D69" s="397"/>
    </row>
  </sheetData>
  <sheetProtection/>
  <mergeCells count="14">
    <mergeCell ref="B51:D51"/>
    <mergeCell ref="B49:B50"/>
    <mergeCell ref="C49:C50"/>
    <mergeCell ref="D49:D50"/>
    <mergeCell ref="B38:B40"/>
    <mergeCell ref="C23:C24"/>
    <mergeCell ref="B11:B13"/>
    <mergeCell ref="D38:D40"/>
    <mergeCell ref="B23:B24"/>
    <mergeCell ref="C38:C40"/>
    <mergeCell ref="D23:D24"/>
    <mergeCell ref="C11:C13"/>
    <mergeCell ref="B25:D25"/>
    <mergeCell ref="D11:D13"/>
  </mergeCells>
  <printOptions/>
  <pageMargins left="1.21" right="0.7086614173228347" top="0.9448818897637796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I73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55.8515625" style="19" customWidth="1"/>
    <col min="3" max="4" width="19.7109375" style="19" customWidth="1"/>
    <col min="5" max="5" width="11.421875" style="19" customWidth="1"/>
    <col min="6" max="6" width="13.140625" style="19" bestFit="1" customWidth="1"/>
    <col min="7" max="7" width="14.421875" style="19" bestFit="1" customWidth="1"/>
    <col min="8" max="8" width="26.140625" style="19" customWidth="1"/>
    <col min="9" max="9" width="14.28125" style="19" customWidth="1"/>
    <col min="10" max="16" width="11.421875" style="19" customWidth="1"/>
    <col min="17" max="16384" width="11.421875" style="17" customWidth="1"/>
  </cols>
  <sheetData>
    <row r="1" ht="15"/>
    <row r="2" ht="15"/>
    <row r="3" ht="15"/>
    <row r="4" spans="2:5" ht="15">
      <c r="B4" s="63"/>
      <c r="C4" s="63"/>
      <c r="D4" s="63"/>
      <c r="E4" s="63"/>
    </row>
    <row r="5" spans="2:9" ht="18">
      <c r="B5" s="86" t="s">
        <v>20</v>
      </c>
      <c r="C5" s="87"/>
      <c r="D5" s="87"/>
      <c r="E5" s="63"/>
      <c r="H5" s="255"/>
      <c r="I5" s="255"/>
    </row>
    <row r="6" spans="2:9" ht="18" customHeight="1">
      <c r="B6" s="138" t="s">
        <v>242</v>
      </c>
      <c r="C6" s="138"/>
      <c r="D6" s="138"/>
      <c r="E6" s="138"/>
      <c r="G6" s="63"/>
      <c r="H6" s="254"/>
      <c r="I6" s="255"/>
    </row>
    <row r="7" spans="2:9" ht="15.75">
      <c r="B7" s="136" t="s">
        <v>64</v>
      </c>
      <c r="C7" s="136"/>
      <c r="D7" s="136"/>
      <c r="E7" s="63"/>
      <c r="F7" s="63"/>
      <c r="G7" s="63"/>
      <c r="H7" s="254"/>
      <c r="I7" s="255"/>
    </row>
    <row r="8" spans="2:9" ht="15.75" customHeight="1">
      <c r="B8" s="334" t="s">
        <v>100</v>
      </c>
      <c r="C8" s="334"/>
      <c r="D8" s="334"/>
      <c r="E8" s="63"/>
      <c r="F8" s="63"/>
      <c r="G8" s="63"/>
      <c r="I8" s="255"/>
    </row>
    <row r="9" spans="2:9" ht="15.75">
      <c r="B9" s="329" t="str">
        <f>+'DGRGL-C1'!B9</f>
        <v>Al 31 de marzo de 2024</v>
      </c>
      <c r="C9" s="329"/>
      <c r="D9" s="270"/>
      <c r="E9" s="315">
        <f>+Portada!I34</f>
        <v>3.721</v>
      </c>
      <c r="F9" s="63"/>
      <c r="G9" s="63"/>
      <c r="H9" s="211"/>
      <c r="I9" s="211"/>
    </row>
    <row r="10" spans="2:9" ht="8.25" customHeight="1">
      <c r="B10" s="87"/>
      <c r="C10" s="87"/>
      <c r="D10" s="87"/>
      <c r="E10" s="63"/>
      <c r="H10" s="211"/>
      <c r="I10" s="211"/>
    </row>
    <row r="11" spans="2:9" ht="15" customHeight="1">
      <c r="B11" s="472" t="s">
        <v>247</v>
      </c>
      <c r="C11" s="547" t="s">
        <v>53</v>
      </c>
      <c r="D11" s="544" t="s">
        <v>130</v>
      </c>
      <c r="E11" s="63"/>
      <c r="H11" s="211"/>
      <c r="I11" s="211"/>
    </row>
    <row r="12" spans="2:9" ht="13.5" customHeight="1">
      <c r="B12" s="553" t="s">
        <v>32</v>
      </c>
      <c r="C12" s="548"/>
      <c r="D12" s="545"/>
      <c r="E12" s="86"/>
      <c r="G12" s="182"/>
      <c r="H12" s="211"/>
      <c r="I12" s="211"/>
    </row>
    <row r="13" spans="2:9" ht="9" customHeight="1">
      <c r="B13" s="554"/>
      <c r="C13" s="549"/>
      <c r="D13" s="546"/>
      <c r="E13" s="63"/>
      <c r="H13" s="211"/>
      <c r="I13" s="211"/>
    </row>
    <row r="14" spans="2:9" ht="9.75" customHeight="1">
      <c r="B14" s="88"/>
      <c r="C14" s="271"/>
      <c r="D14" s="273"/>
      <c r="E14" s="63"/>
      <c r="H14" s="211"/>
      <c r="I14" s="211"/>
    </row>
    <row r="15" spans="2:9" ht="16.5">
      <c r="B15" s="130" t="s">
        <v>116</v>
      </c>
      <c r="C15" s="335">
        <f>SUM(C16:C18)</f>
        <v>788607.0493200001</v>
      </c>
      <c r="D15" s="335">
        <f>SUM(D16:D18)</f>
        <v>2934406.8305200003</v>
      </c>
      <c r="E15" s="63"/>
      <c r="G15" s="211"/>
      <c r="H15" s="211"/>
      <c r="I15" s="211"/>
    </row>
    <row r="16" spans="2:9" ht="15.75">
      <c r="B16" s="339" t="s">
        <v>88</v>
      </c>
      <c r="C16" s="480">
        <v>201833.25695</v>
      </c>
      <c r="D16" s="331">
        <f>ROUND(+C16*$E$9,5)</f>
        <v>751021.54911</v>
      </c>
      <c r="E16" s="449"/>
      <c r="F16" s="451"/>
      <c r="G16" s="213"/>
      <c r="H16" s="211"/>
      <c r="I16" s="211"/>
    </row>
    <row r="17" spans="2:9" ht="15.75">
      <c r="B17" s="339" t="s">
        <v>85</v>
      </c>
      <c r="C17" s="480">
        <v>570922.83577</v>
      </c>
      <c r="D17" s="331">
        <f>ROUND(+C17*$E$9,5)</f>
        <v>2124403.8719</v>
      </c>
      <c r="E17" s="449"/>
      <c r="F17" s="451"/>
      <c r="G17" s="213"/>
      <c r="H17" s="211"/>
      <c r="I17" s="211"/>
    </row>
    <row r="18" spans="2:9" ht="15.75">
      <c r="B18" s="339" t="s">
        <v>221</v>
      </c>
      <c r="C18" s="480">
        <v>15850.9566</v>
      </c>
      <c r="D18" s="331">
        <f>ROUND(+C18*$E$9,5)</f>
        <v>58981.40951</v>
      </c>
      <c r="E18" s="449"/>
      <c r="F18" s="451"/>
      <c r="G18" s="213"/>
      <c r="H18" s="211"/>
      <c r="I18" s="211"/>
    </row>
    <row r="19" spans="2:7" ht="15" customHeight="1">
      <c r="B19" s="43"/>
      <c r="C19" s="331"/>
      <c r="D19" s="337"/>
      <c r="F19" s="449"/>
      <c r="G19" s="211"/>
    </row>
    <row r="20" spans="2:7" ht="16.5">
      <c r="B20" s="44" t="s">
        <v>56</v>
      </c>
      <c r="C20" s="335">
        <f>+C21+C22</f>
        <v>183872.82067999998</v>
      </c>
      <c r="D20" s="335">
        <f>+D21+D22</f>
        <v>684190.7657499999</v>
      </c>
      <c r="F20" s="450"/>
      <c r="G20" s="211"/>
    </row>
    <row r="21" spans="2:7" ht="15.75">
      <c r="B21" s="339" t="s">
        <v>222</v>
      </c>
      <c r="C21" s="331">
        <f>+C25+C30+C35</f>
        <v>172597.94415999998</v>
      </c>
      <c r="D21" s="331">
        <f>+D25+D30+D35</f>
        <v>642236.9502199999</v>
      </c>
      <c r="F21" s="212"/>
      <c r="G21" s="213"/>
    </row>
    <row r="22" spans="2:7" ht="15.75">
      <c r="B22" s="339" t="s">
        <v>85</v>
      </c>
      <c r="C22" s="331">
        <f>+C26+C31+C36</f>
        <v>11274.87652</v>
      </c>
      <c r="D22" s="331">
        <f>+D26+D31+D36</f>
        <v>41953.81553</v>
      </c>
      <c r="G22" s="214"/>
    </row>
    <row r="23" spans="2:7" ht="9.75" customHeight="1">
      <c r="B23" s="43"/>
      <c r="C23" s="333"/>
      <c r="D23" s="337"/>
      <c r="G23" s="211"/>
    </row>
    <row r="24" spans="2:7" ht="15.75">
      <c r="B24" s="340" t="s">
        <v>35</v>
      </c>
      <c r="C24" s="342">
        <f>SUM(C25:C27)</f>
        <v>3019.9995000000004</v>
      </c>
      <c r="D24" s="342">
        <f>SUM(D25:D27)</f>
        <v>11237.41814</v>
      </c>
      <c r="G24" s="211"/>
    </row>
    <row r="25" spans="2:7" ht="15">
      <c r="B25" s="41" t="s">
        <v>89</v>
      </c>
      <c r="C25" s="481">
        <v>3019.9995000000004</v>
      </c>
      <c r="D25" s="341">
        <f>ROUND(+C25*$E$9,5)</f>
        <v>11237.41814</v>
      </c>
      <c r="G25" s="211"/>
    </row>
    <row r="26" spans="2:7" ht="15">
      <c r="B26" s="41" t="s">
        <v>85</v>
      </c>
      <c r="C26" s="333">
        <v>0</v>
      </c>
      <c r="D26" s="341">
        <f>ROUND(+C26*$E$9,5)</f>
        <v>0</v>
      </c>
      <c r="G26" s="211"/>
    </row>
    <row r="27" spans="2:7" ht="15">
      <c r="B27" s="41" t="s">
        <v>219</v>
      </c>
      <c r="C27" s="333">
        <v>0</v>
      </c>
      <c r="D27" s="341">
        <f>ROUND(+C27*$E$9,5)</f>
        <v>0</v>
      </c>
      <c r="G27" s="211"/>
    </row>
    <row r="28" spans="2:7" ht="9.75" customHeight="1">
      <c r="B28" s="43"/>
      <c r="C28" s="333"/>
      <c r="D28" s="337"/>
      <c r="G28" s="211"/>
    </row>
    <row r="29" spans="2:7" ht="15.75">
      <c r="B29" s="340" t="s">
        <v>169</v>
      </c>
      <c r="C29" s="342">
        <f>SUM(C30:C32)</f>
        <v>171607.81311999998</v>
      </c>
      <c r="D29" s="342">
        <f>SUM(D30:D32)</f>
        <v>638552.67262</v>
      </c>
      <c r="G29" s="211"/>
    </row>
    <row r="30" spans="2:7" ht="15">
      <c r="B30" s="41" t="s">
        <v>88</v>
      </c>
      <c r="C30" s="481">
        <v>160332.9366</v>
      </c>
      <c r="D30" s="341">
        <f>ROUND(+C30*$E$9,5)</f>
        <v>596598.85709</v>
      </c>
      <c r="G30" s="497"/>
    </row>
    <row r="31" spans="2:7" ht="15">
      <c r="B31" s="41" t="s">
        <v>85</v>
      </c>
      <c r="C31" s="341">
        <v>11274.87652</v>
      </c>
      <c r="D31" s="341">
        <f>ROUND(+C31*$E$9,5)</f>
        <v>41953.81553</v>
      </c>
      <c r="G31" s="497"/>
    </row>
    <row r="32" spans="2:7" ht="15">
      <c r="B32" s="41" t="s">
        <v>219</v>
      </c>
      <c r="C32" s="333">
        <v>0</v>
      </c>
      <c r="D32" s="341">
        <f>ROUND(+C32*$E$9,5)</f>
        <v>0</v>
      </c>
      <c r="G32" s="497"/>
    </row>
    <row r="33" spans="2:7" ht="9.75" customHeight="1">
      <c r="B33" s="43"/>
      <c r="C33" s="333"/>
      <c r="D33" s="337"/>
      <c r="G33" s="497"/>
    </row>
    <row r="34" spans="2:7" ht="15.75">
      <c r="B34" s="441" t="s">
        <v>170</v>
      </c>
      <c r="C34" s="342">
        <f>SUM(C35:C37)</f>
        <v>9245.00806</v>
      </c>
      <c r="D34" s="342">
        <f>SUM(D35:D37)</f>
        <v>34400.67499</v>
      </c>
      <c r="G34" s="497"/>
    </row>
    <row r="35" spans="2:7" ht="15">
      <c r="B35" s="41" t="s">
        <v>89</v>
      </c>
      <c r="C35" s="481">
        <v>9245.00806</v>
      </c>
      <c r="D35" s="341">
        <f>ROUND(+C35*$E$9,5)</f>
        <v>34400.67499</v>
      </c>
      <c r="G35" s="497"/>
    </row>
    <row r="36" spans="2:7" ht="15">
      <c r="B36" s="41" t="s">
        <v>90</v>
      </c>
      <c r="C36" s="333">
        <v>0</v>
      </c>
      <c r="D36" s="341">
        <f>ROUND(+C36*$E$9,5)</f>
        <v>0</v>
      </c>
      <c r="G36" s="498"/>
    </row>
    <row r="37" spans="2:7" ht="15">
      <c r="B37" s="41" t="s">
        <v>219</v>
      </c>
      <c r="C37" s="333">
        <v>0</v>
      </c>
      <c r="D37" s="341">
        <f>ROUND(+C37*$E$9,5)</f>
        <v>0</v>
      </c>
      <c r="G37" s="498"/>
    </row>
    <row r="38" spans="2:4" ht="9.75" customHeight="1">
      <c r="B38" s="42"/>
      <c r="C38" s="336"/>
      <c r="D38" s="338"/>
    </row>
    <row r="39" spans="2:4" ht="15" customHeight="1">
      <c r="B39" s="555" t="s">
        <v>14</v>
      </c>
      <c r="C39" s="557">
        <f>+C20+C15</f>
        <v>972479.8700000001</v>
      </c>
      <c r="D39" s="557">
        <f>+D20+D15</f>
        <v>3618597.59627</v>
      </c>
    </row>
    <row r="40" spans="2:7" ht="15" customHeight="1">
      <c r="B40" s="556"/>
      <c r="C40" s="558"/>
      <c r="D40" s="558"/>
      <c r="F40" s="113"/>
      <c r="G40" s="113"/>
    </row>
    <row r="41" ht="4.5" customHeight="1"/>
    <row r="42" spans="2:7" ht="15">
      <c r="B42" s="467" t="s">
        <v>139</v>
      </c>
      <c r="C42" s="504"/>
      <c r="D42" s="490"/>
      <c r="G42" s="499"/>
    </row>
    <row r="43" spans="2:7" ht="15">
      <c r="B43" s="26" t="s">
        <v>220</v>
      </c>
      <c r="C43" s="489"/>
      <c r="D43" s="26"/>
      <c r="G43" s="499"/>
    </row>
    <row r="44" spans="2:7" ht="15">
      <c r="B44" s="561" t="s">
        <v>223</v>
      </c>
      <c r="C44" s="561"/>
      <c r="D44" s="561"/>
      <c r="G44" s="499"/>
    </row>
    <row r="45" spans="2:7" ht="15">
      <c r="B45" s="401"/>
      <c r="C45" s="402"/>
      <c r="D45" s="403"/>
      <c r="E45" s="397"/>
      <c r="G45" s="499"/>
    </row>
    <row r="46" spans="2:7" ht="15">
      <c r="B46" s="401"/>
      <c r="C46" s="403"/>
      <c r="D46" s="403"/>
      <c r="E46" s="397"/>
      <c r="F46" s="177"/>
      <c r="G46" s="499"/>
    </row>
    <row r="47" spans="2:7" ht="15">
      <c r="B47" s="397"/>
      <c r="C47" s="397"/>
      <c r="D47" s="397"/>
      <c r="E47" s="397"/>
      <c r="G47" s="499"/>
    </row>
    <row r="48" spans="2:7" ht="18">
      <c r="B48" s="46" t="s">
        <v>104</v>
      </c>
      <c r="C48" s="47"/>
      <c r="D48" s="47"/>
      <c r="G48" s="500"/>
    </row>
    <row r="49" spans="2:7" ht="18">
      <c r="B49" s="138" t="s">
        <v>242</v>
      </c>
      <c r="C49" s="138"/>
      <c r="D49" s="138"/>
      <c r="E49" s="138"/>
      <c r="G49" s="500"/>
    </row>
    <row r="50" spans="2:5" ht="15" customHeight="1">
      <c r="B50" s="136" t="s">
        <v>66</v>
      </c>
      <c r="C50" s="136"/>
      <c r="D50" s="136"/>
      <c r="E50" s="62"/>
    </row>
    <row r="51" spans="2:5" ht="15" customHeight="1">
      <c r="B51" s="334" t="s">
        <v>100</v>
      </c>
      <c r="C51" s="334"/>
      <c r="D51" s="334"/>
      <c r="E51" s="62"/>
    </row>
    <row r="52" spans="2:4" ht="15" customHeight="1">
      <c r="B52" s="329" t="str">
        <f>+B9</f>
        <v>Al 31 de marzo de 2024</v>
      </c>
      <c r="C52" s="329"/>
      <c r="D52" s="57"/>
    </row>
    <row r="53" spans="2:4" ht="6.75" customHeight="1">
      <c r="B53" s="47"/>
      <c r="C53" s="47"/>
      <c r="D53" s="47"/>
    </row>
    <row r="54" spans="2:9" ht="15" customHeight="1">
      <c r="B54" s="442" t="s">
        <v>171</v>
      </c>
      <c r="C54" s="547" t="s">
        <v>53</v>
      </c>
      <c r="D54" s="544" t="s">
        <v>130</v>
      </c>
      <c r="H54" s="177"/>
      <c r="I54" s="177"/>
    </row>
    <row r="55" spans="2:7" ht="13.5" customHeight="1">
      <c r="B55" s="562" t="s">
        <v>172</v>
      </c>
      <c r="C55" s="548"/>
      <c r="D55" s="545"/>
      <c r="E55" s="46"/>
      <c r="G55" s="182"/>
    </row>
    <row r="56" spans="2:4" ht="9" customHeight="1">
      <c r="B56" s="563"/>
      <c r="C56" s="549"/>
      <c r="D56" s="546"/>
    </row>
    <row r="57" spans="2:4" ht="9.75" customHeight="1">
      <c r="B57" s="48"/>
      <c r="C57" s="49"/>
      <c r="D57" s="50"/>
    </row>
    <row r="58" spans="2:4" ht="19.5" customHeight="1">
      <c r="B58" s="44" t="s">
        <v>55</v>
      </c>
      <c r="C58" s="335">
        <f>SUM(C59:C61)</f>
        <v>22161.57248</v>
      </c>
      <c r="D58" s="335">
        <f>SUM(D59:D61)</f>
        <v>82463.21119808</v>
      </c>
    </row>
    <row r="59" spans="2:4" ht="15.75">
      <c r="B59" s="45" t="s">
        <v>87</v>
      </c>
      <c r="C59" s="331">
        <v>0</v>
      </c>
      <c r="D59" s="331">
        <f>+C59*$E$9</f>
        <v>0</v>
      </c>
    </row>
    <row r="60" spans="2:4" ht="15.75">
      <c r="B60" s="45" t="s">
        <v>85</v>
      </c>
      <c r="C60" s="331">
        <v>22161.57248</v>
      </c>
      <c r="D60" s="331">
        <f>+C60*$E$9</f>
        <v>82463.21119808</v>
      </c>
    </row>
    <row r="61" spans="2:4" ht="15.75">
      <c r="B61" s="45" t="s">
        <v>217</v>
      </c>
      <c r="C61" s="331">
        <v>0</v>
      </c>
      <c r="D61" s="331">
        <f>+C61*$E$9</f>
        <v>0</v>
      </c>
    </row>
    <row r="62" spans="2:4" ht="15" customHeight="1">
      <c r="B62" s="43"/>
      <c r="C62" s="331"/>
      <c r="D62" s="337"/>
    </row>
    <row r="63" spans="2:4" ht="16.5">
      <c r="B63" s="44" t="s">
        <v>56</v>
      </c>
      <c r="C63" s="335">
        <v>0</v>
      </c>
      <c r="D63" s="335">
        <v>0</v>
      </c>
    </row>
    <row r="64" spans="2:4" ht="9.75" customHeight="1">
      <c r="B64" s="42"/>
      <c r="C64" s="336"/>
      <c r="D64" s="338"/>
    </row>
    <row r="65" spans="2:7" ht="15" customHeight="1">
      <c r="B65" s="555" t="s">
        <v>14</v>
      </c>
      <c r="C65" s="557">
        <f>+C63+C58</f>
        <v>22161.57248</v>
      </c>
      <c r="D65" s="557">
        <f>+D63+D58</f>
        <v>82463.21119808</v>
      </c>
      <c r="F65" s="197"/>
      <c r="G65" s="197"/>
    </row>
    <row r="66" spans="2:4" ht="15" customHeight="1">
      <c r="B66" s="556"/>
      <c r="C66" s="558"/>
      <c r="D66" s="558"/>
    </row>
    <row r="67" ht="5.25" customHeight="1"/>
    <row r="68" spans="2:4" ht="15">
      <c r="B68" s="26" t="s">
        <v>218</v>
      </c>
      <c r="C68" s="404"/>
      <c r="D68" s="399"/>
    </row>
    <row r="69" spans="2:4" ht="15">
      <c r="B69" s="397"/>
      <c r="C69" s="399"/>
      <c r="D69" s="399"/>
    </row>
    <row r="70" spans="2:4" ht="15">
      <c r="B70" s="397"/>
      <c r="C70" s="405"/>
      <c r="D70" s="405"/>
    </row>
    <row r="71" spans="2:4" ht="15">
      <c r="B71" s="397"/>
      <c r="C71" s="399"/>
      <c r="D71" s="399"/>
    </row>
    <row r="72" spans="2:4" ht="15">
      <c r="B72" s="397"/>
      <c r="C72" s="397"/>
      <c r="D72" s="397"/>
    </row>
    <row r="73" spans="2:4" ht="15">
      <c r="B73" s="397"/>
      <c r="C73" s="397"/>
      <c r="D73" s="397"/>
    </row>
  </sheetData>
  <sheetProtection/>
  <mergeCells count="13">
    <mergeCell ref="B65:B66"/>
    <mergeCell ref="C65:C66"/>
    <mergeCell ref="D65:D66"/>
    <mergeCell ref="C54:C56"/>
    <mergeCell ref="D54:D56"/>
    <mergeCell ref="B55:B56"/>
    <mergeCell ref="C11:C13"/>
    <mergeCell ref="B44:D44"/>
    <mergeCell ref="B39:B40"/>
    <mergeCell ref="C39:C40"/>
    <mergeCell ref="D39:D40"/>
    <mergeCell ref="D11:D13"/>
    <mergeCell ref="B12:B13"/>
  </mergeCells>
  <printOptions/>
  <pageMargins left="1.68" right="0.7086614173228347" top="0.74" bottom="0.34" header="0.31496062992125984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G454"/>
  <sheetViews>
    <sheetView zoomScale="80" zoomScaleNormal="80" workbookViewId="0" topLeftCell="A1">
      <selection activeCell="B5" sqref="B5"/>
    </sheetView>
  </sheetViews>
  <sheetFormatPr defaultColWidth="11.421875" defaultRowHeight="15"/>
  <cols>
    <col min="1" max="1" width="4.28125" style="63" customWidth="1"/>
    <col min="2" max="2" width="55.7109375" style="63" customWidth="1"/>
    <col min="3" max="4" width="19.7109375" style="63" customWidth="1"/>
    <col min="5" max="7" width="11.421875" style="63" customWidth="1"/>
    <col min="8" max="16384" width="11.421875" style="74" customWidth="1"/>
  </cols>
  <sheetData>
    <row r="1" ht="15"/>
    <row r="2" ht="15"/>
    <row r="3" ht="15"/>
    <row r="5" spans="2:3" ht="18">
      <c r="B5" s="86" t="s">
        <v>21</v>
      </c>
      <c r="C5" s="86"/>
    </row>
    <row r="6" spans="2:4" ht="18" customHeight="1">
      <c r="B6" s="138" t="s">
        <v>242</v>
      </c>
      <c r="C6" s="138"/>
      <c r="D6" s="138"/>
    </row>
    <row r="7" spans="2:4" ht="15.75">
      <c r="B7" s="136" t="s">
        <v>64</v>
      </c>
      <c r="C7" s="136"/>
      <c r="D7" s="136"/>
    </row>
    <row r="8" spans="2:4" ht="15.75" customHeight="1">
      <c r="B8" s="136" t="s">
        <v>84</v>
      </c>
      <c r="C8" s="136"/>
      <c r="D8" s="136"/>
    </row>
    <row r="9" spans="2:5" ht="15.75">
      <c r="B9" s="329" t="str">
        <f>+'DGRGL-C1'!B9</f>
        <v>Al 31 de marzo de 2024</v>
      </c>
      <c r="C9" s="329"/>
      <c r="D9" s="269"/>
      <c r="E9" s="315">
        <f>+Portada!I34</f>
        <v>3.721</v>
      </c>
    </row>
    <row r="10" spans="2:4" ht="7.5" customHeight="1">
      <c r="B10" s="87"/>
      <c r="C10" s="87"/>
      <c r="D10" s="87"/>
    </row>
    <row r="11" spans="2:4" ht="15" customHeight="1">
      <c r="B11" s="535" t="s">
        <v>101</v>
      </c>
      <c r="C11" s="547" t="s">
        <v>53</v>
      </c>
      <c r="D11" s="544" t="s">
        <v>130</v>
      </c>
    </row>
    <row r="12" spans="2:4" ht="13.5" customHeight="1">
      <c r="B12" s="536"/>
      <c r="C12" s="548"/>
      <c r="D12" s="545"/>
    </row>
    <row r="13" spans="2:4" ht="9" customHeight="1">
      <c r="B13" s="537"/>
      <c r="C13" s="549"/>
      <c r="D13" s="546"/>
    </row>
    <row r="14" spans="2:4" ht="9" customHeight="1">
      <c r="B14" s="88"/>
      <c r="C14" s="88"/>
      <c r="D14" s="106"/>
    </row>
    <row r="15" spans="2:5" ht="15.75">
      <c r="B15" s="382" t="s">
        <v>80</v>
      </c>
      <c r="C15" s="349">
        <f>+C17</f>
        <v>374431.20161</v>
      </c>
      <c r="D15" s="349">
        <f>+D17</f>
        <v>1393258.50119</v>
      </c>
      <c r="E15" s="449"/>
    </row>
    <row r="16" spans="2:4" ht="9.75" customHeight="1">
      <c r="B16" s="73"/>
      <c r="C16" s="349"/>
      <c r="D16" s="349"/>
    </row>
    <row r="17" spans="2:5" ht="15.75">
      <c r="B17" s="381" t="s">
        <v>92</v>
      </c>
      <c r="C17" s="349">
        <f>+C19</f>
        <v>374431.20161</v>
      </c>
      <c r="D17" s="349">
        <f>+D19</f>
        <v>1393258.50119</v>
      </c>
      <c r="E17" s="449"/>
    </row>
    <row r="18" spans="2:4" ht="7.5" customHeight="1">
      <c r="B18" s="383"/>
      <c r="C18" s="347"/>
      <c r="D18" s="347"/>
    </row>
    <row r="19" spans="2:5" ht="15">
      <c r="B19" s="355" t="s">
        <v>140</v>
      </c>
      <c r="C19" s="347">
        <f>SUM(C20:C21)</f>
        <v>374431.20161</v>
      </c>
      <c r="D19" s="347">
        <f>SUM(D20:D21)</f>
        <v>1393258.50119</v>
      </c>
      <c r="E19" s="449"/>
    </row>
    <row r="20" spans="2:4" ht="15">
      <c r="B20" s="354" t="s">
        <v>142</v>
      </c>
      <c r="C20" s="348">
        <v>238314.25968</v>
      </c>
      <c r="D20" s="348">
        <f>ROUND(+C20*$E$9,5)</f>
        <v>886767.36027</v>
      </c>
    </row>
    <row r="21" spans="2:4" ht="15">
      <c r="B21" s="354" t="s">
        <v>141</v>
      </c>
      <c r="C21" s="348">
        <v>136116.94193</v>
      </c>
      <c r="D21" s="348">
        <f>ROUND(+C21*$E$9,5)</f>
        <v>506491.14092</v>
      </c>
    </row>
    <row r="22" spans="2:4" ht="12" customHeight="1">
      <c r="B22" s="67"/>
      <c r="C22" s="344"/>
      <c r="D22" s="347"/>
    </row>
    <row r="23" spans="2:4" ht="15.75">
      <c r="B23" s="382" t="s">
        <v>81</v>
      </c>
      <c r="C23" s="343">
        <f>+C25+C31</f>
        <v>582197.7117900001</v>
      </c>
      <c r="D23" s="349">
        <f>+D25+D31</f>
        <v>2166357.68558</v>
      </c>
    </row>
    <row r="24" spans="2:4" ht="9.75" customHeight="1">
      <c r="B24" s="382"/>
      <c r="C24" s="343"/>
      <c r="D24" s="349"/>
    </row>
    <row r="25" spans="2:4" ht="15.75">
      <c r="B25" s="381" t="s">
        <v>91</v>
      </c>
      <c r="C25" s="343">
        <f>+C27</f>
        <v>11274.87652</v>
      </c>
      <c r="D25" s="349">
        <f>+D27</f>
        <v>41953.81553</v>
      </c>
    </row>
    <row r="26" spans="2:4" ht="7.5" customHeight="1">
      <c r="B26" s="384"/>
      <c r="C26" s="343"/>
      <c r="D26" s="349"/>
    </row>
    <row r="27" spans="2:4" ht="15">
      <c r="B27" s="355" t="s">
        <v>51</v>
      </c>
      <c r="C27" s="344">
        <f>SUM(C28:C29)</f>
        <v>11274.87652</v>
      </c>
      <c r="D27" s="350">
        <f>SUM(D28:D29)</f>
        <v>41953.81553</v>
      </c>
    </row>
    <row r="28" spans="2:4" ht="15">
      <c r="B28" s="354" t="s">
        <v>144</v>
      </c>
      <c r="C28" s="348">
        <v>11274.87652</v>
      </c>
      <c r="D28" s="348">
        <f>ROUND(+C28*$E$9,5)</f>
        <v>41953.81553</v>
      </c>
    </row>
    <row r="29" spans="2:4" ht="15" hidden="1">
      <c r="B29" s="354" t="s">
        <v>145</v>
      </c>
      <c r="C29" s="348">
        <v>0</v>
      </c>
      <c r="D29" s="348">
        <f>ROUND(+C29*$E$9,5)</f>
        <v>0</v>
      </c>
    </row>
    <row r="30" spans="2:4" ht="7.5" customHeight="1">
      <c r="B30" s="383"/>
      <c r="C30" s="344"/>
      <c r="D30" s="347"/>
    </row>
    <row r="31" spans="2:5" ht="15.75">
      <c r="B31" s="381" t="s">
        <v>92</v>
      </c>
      <c r="C31" s="343">
        <f>+C33+C35+C42+C46</f>
        <v>570922.83527</v>
      </c>
      <c r="D31" s="349">
        <f>+D33+D35+D42+D46</f>
        <v>2124403.87005</v>
      </c>
      <c r="E31" s="449"/>
    </row>
    <row r="32" spans="2:4" ht="7.5" customHeight="1">
      <c r="B32" s="386"/>
      <c r="C32" s="346"/>
      <c r="D32" s="351"/>
    </row>
    <row r="33" spans="2:5" ht="15">
      <c r="B33" s="355" t="s">
        <v>398</v>
      </c>
      <c r="C33" s="344">
        <v>323837.67804</v>
      </c>
      <c r="D33" s="347">
        <f aca="true" t="shared" si="0" ref="D33:D40">ROUND(+C33*$E$9,5)</f>
        <v>1204999.99999</v>
      </c>
      <c r="E33" s="449"/>
    </row>
    <row r="34" spans="2:4" ht="7.5" customHeight="1">
      <c r="B34" s="386"/>
      <c r="C34" s="346"/>
      <c r="D34" s="348"/>
    </row>
    <row r="35" spans="2:6" ht="15">
      <c r="B35" s="355" t="s">
        <v>143</v>
      </c>
      <c r="C35" s="344">
        <f>SUM(C36:C40)</f>
        <v>44673.710360000005</v>
      </c>
      <c r="D35" s="347">
        <f>SUM(D36:D40)</f>
        <v>166230.87625</v>
      </c>
      <c r="E35" s="449"/>
      <c r="F35" s="223"/>
    </row>
    <row r="36" spans="2:6" ht="15">
      <c r="B36" s="354" t="s">
        <v>248</v>
      </c>
      <c r="C36" s="348">
        <v>31694.53859</v>
      </c>
      <c r="D36" s="348">
        <f t="shared" si="0"/>
        <v>117935.37809</v>
      </c>
      <c r="F36" s="223"/>
    </row>
    <row r="37" spans="2:6" ht="15">
      <c r="B37" s="354" t="s">
        <v>210</v>
      </c>
      <c r="C37" s="348">
        <v>12410.05263</v>
      </c>
      <c r="D37" s="348">
        <f t="shared" si="0"/>
        <v>46177.80584</v>
      </c>
      <c r="F37" s="223"/>
    </row>
    <row r="38" spans="2:6" ht="15">
      <c r="B38" s="354" t="s">
        <v>152</v>
      </c>
      <c r="C38" s="348">
        <v>539.26247</v>
      </c>
      <c r="D38" s="348">
        <f t="shared" si="0"/>
        <v>2006.59565</v>
      </c>
      <c r="F38" s="223"/>
    </row>
    <row r="39" spans="2:6" ht="15" hidden="1">
      <c r="B39" s="354" t="s">
        <v>255</v>
      </c>
      <c r="C39" s="348">
        <v>0</v>
      </c>
      <c r="D39" s="348">
        <f t="shared" si="0"/>
        <v>0</v>
      </c>
      <c r="F39" s="223"/>
    </row>
    <row r="40" spans="1:7" ht="15">
      <c r="A40" s="74"/>
      <c r="B40" s="354" t="s">
        <v>198</v>
      </c>
      <c r="C40" s="348">
        <v>29.85667</v>
      </c>
      <c r="D40" s="348">
        <f t="shared" si="0"/>
        <v>111.09667</v>
      </c>
      <c r="F40" s="223"/>
      <c r="G40" s="74"/>
    </row>
    <row r="41" spans="1:7" ht="7.5" customHeight="1">
      <c r="A41" s="74"/>
      <c r="B41" s="67"/>
      <c r="C41" s="347"/>
      <c r="D41" s="347"/>
      <c r="E41" s="74"/>
      <c r="F41" s="456"/>
      <c r="G41" s="74"/>
    </row>
    <row r="42" spans="1:7" ht="15">
      <c r="A42" s="74"/>
      <c r="B42" s="355" t="s">
        <v>146</v>
      </c>
      <c r="C42" s="347">
        <f>SUM(C43:C44)</f>
        <v>14313.20155</v>
      </c>
      <c r="D42" s="347">
        <f>SUM(D43:D44)</f>
        <v>53259.42297</v>
      </c>
      <c r="E42" s="74"/>
      <c r="F42" s="74"/>
      <c r="G42" s="74"/>
    </row>
    <row r="43" spans="1:7" ht="15">
      <c r="A43" s="74"/>
      <c r="B43" s="354" t="s">
        <v>147</v>
      </c>
      <c r="C43" s="475">
        <v>14313.20155</v>
      </c>
      <c r="D43" s="348">
        <f>ROUND(+C43*$E$9,5)</f>
        <v>53259.42297</v>
      </c>
      <c r="F43" s="74"/>
      <c r="G43" s="74"/>
    </row>
    <row r="44" spans="1:7" ht="15" hidden="1">
      <c r="A44" s="74"/>
      <c r="B44" s="354" t="s">
        <v>148</v>
      </c>
      <c r="C44" s="348">
        <v>0</v>
      </c>
      <c r="D44" s="348">
        <f>ROUND(+C44*$E$9,5)</f>
        <v>0</v>
      </c>
      <c r="E44" s="74"/>
      <c r="F44" s="74"/>
      <c r="G44" s="74"/>
    </row>
    <row r="45" spans="1:7" ht="7.5" customHeight="1">
      <c r="A45" s="74"/>
      <c r="B45" s="387"/>
      <c r="C45" s="348"/>
      <c r="D45" s="348"/>
      <c r="E45" s="74"/>
      <c r="F45" s="74"/>
      <c r="G45" s="74"/>
    </row>
    <row r="46" spans="2:4" ht="15">
      <c r="B46" s="355" t="s">
        <v>395</v>
      </c>
      <c r="C46" s="347">
        <f>SUM(C47:C48)</f>
        <v>188098.24532</v>
      </c>
      <c r="D46" s="347">
        <f>SUM(D47:D48)</f>
        <v>699913.57084</v>
      </c>
    </row>
    <row r="47" spans="2:4" ht="15">
      <c r="B47" s="354" t="s">
        <v>149</v>
      </c>
      <c r="C47" s="348">
        <v>153914.1428</v>
      </c>
      <c r="D47" s="348">
        <f>ROUND(+C47*$E$9,5)</f>
        <v>572714.52536</v>
      </c>
    </row>
    <row r="48" spans="2:4" ht="15">
      <c r="B48" s="354" t="s">
        <v>193</v>
      </c>
      <c r="C48" s="348">
        <v>34184.10252</v>
      </c>
      <c r="D48" s="348">
        <f>ROUND(+C48*$E$9,5)</f>
        <v>127199.04548</v>
      </c>
    </row>
    <row r="49" spans="2:4" ht="15" hidden="1">
      <c r="B49" s="70"/>
      <c r="C49" s="347"/>
      <c r="D49" s="347"/>
    </row>
    <row r="50" spans="2:4" ht="15" hidden="1">
      <c r="B50" s="67" t="s">
        <v>82</v>
      </c>
      <c r="C50" s="347">
        <f>+C52+C51</f>
        <v>0</v>
      </c>
      <c r="D50" s="347">
        <f>+D52+D51</f>
        <v>0</v>
      </c>
    </row>
    <row r="51" spans="2:4" ht="15" hidden="1">
      <c r="B51" s="70" t="s">
        <v>83</v>
      </c>
      <c r="C51" s="348">
        <v>0</v>
      </c>
      <c r="D51" s="348">
        <f>+C51*$E$9</f>
        <v>0</v>
      </c>
    </row>
    <row r="52" spans="2:4" ht="15" hidden="1">
      <c r="B52" s="70" t="s">
        <v>117</v>
      </c>
      <c r="C52" s="348"/>
      <c r="D52" s="348">
        <f>+C52*$E$9</f>
        <v>0</v>
      </c>
    </row>
    <row r="53" spans="2:4" ht="12" customHeight="1">
      <c r="B53" s="70"/>
      <c r="C53" s="348"/>
      <c r="D53" s="348"/>
    </row>
    <row r="54" spans="2:5" ht="15.75">
      <c r="B54" s="382" t="s">
        <v>224</v>
      </c>
      <c r="C54" s="343">
        <f>+C56</f>
        <v>15850.9566</v>
      </c>
      <c r="D54" s="349">
        <f>+D56</f>
        <v>58981.40951</v>
      </c>
      <c r="E54" s="449"/>
    </row>
    <row r="55" spans="2:4" ht="9.75" customHeight="1">
      <c r="B55" s="382"/>
      <c r="C55" s="343"/>
      <c r="D55" s="349"/>
    </row>
    <row r="56" spans="2:4" ht="15.75">
      <c r="B56" s="381" t="s">
        <v>92</v>
      </c>
      <c r="C56" s="343">
        <f>+C58</f>
        <v>15850.9566</v>
      </c>
      <c r="D56" s="349">
        <f>+D58</f>
        <v>58981.40951</v>
      </c>
    </row>
    <row r="57" spans="2:4" ht="7.5" customHeight="1">
      <c r="B57" s="384"/>
      <c r="C57" s="343"/>
      <c r="D57" s="349"/>
    </row>
    <row r="58" spans="2:4" ht="15">
      <c r="B58" s="355" t="s">
        <v>225</v>
      </c>
      <c r="C58" s="344">
        <f>SUM(C59:C59)</f>
        <v>15850.9566</v>
      </c>
      <c r="D58" s="350">
        <f>SUM(D59:D59)</f>
        <v>58981.40951</v>
      </c>
    </row>
    <row r="59" spans="2:4" ht="15">
      <c r="B59" s="354" t="s">
        <v>149</v>
      </c>
      <c r="C59" s="475">
        <v>15850.9566</v>
      </c>
      <c r="D59" s="348">
        <f>ROUND(+C59*$E$9,5)</f>
        <v>58981.40951</v>
      </c>
    </row>
    <row r="60" spans="2:4" ht="8.25" customHeight="1">
      <c r="B60" s="387"/>
      <c r="C60" s="348"/>
      <c r="D60" s="352"/>
    </row>
    <row r="61" spans="2:4" ht="15" customHeight="1">
      <c r="B61" s="566" t="s">
        <v>16</v>
      </c>
      <c r="C61" s="557">
        <f>+C23+C15+C54</f>
        <v>972479.8700000001</v>
      </c>
      <c r="D61" s="557">
        <f>+D23+D15+D54</f>
        <v>3618597.5962799997</v>
      </c>
    </row>
    <row r="62" spans="2:4" ht="15" customHeight="1">
      <c r="B62" s="567"/>
      <c r="C62" s="558"/>
      <c r="D62" s="558"/>
    </row>
    <row r="63" spans="2:4" ht="7.5" customHeight="1">
      <c r="B63" s="107"/>
      <c r="C63" s="89"/>
      <c r="D63" s="89"/>
    </row>
    <row r="64" spans="1:7" s="109" customFormat="1" ht="15" customHeight="1">
      <c r="A64" s="64"/>
      <c r="B64" s="108" t="s">
        <v>111</v>
      </c>
      <c r="C64" s="495"/>
      <c r="D64" s="90"/>
      <c r="E64" s="64"/>
      <c r="F64" s="64"/>
      <c r="G64" s="64"/>
    </row>
    <row r="65" spans="2:4" ht="6.75" customHeight="1">
      <c r="B65" s="110"/>
      <c r="C65" s="204"/>
      <c r="D65" s="204"/>
    </row>
    <row r="66" spans="2:4" ht="15" customHeight="1">
      <c r="B66" s="91" t="s">
        <v>150</v>
      </c>
      <c r="C66" s="186"/>
      <c r="D66" s="186"/>
    </row>
    <row r="67" spans="2:4" ht="15" customHeight="1">
      <c r="B67" s="91" t="s">
        <v>151</v>
      </c>
      <c r="C67" s="91"/>
      <c r="D67" s="91"/>
    </row>
    <row r="68" spans="2:4" ht="15" customHeight="1">
      <c r="B68" s="6" t="s">
        <v>397</v>
      </c>
      <c r="C68" s="91"/>
      <c r="D68" s="91"/>
    </row>
    <row r="69" spans="1:7" ht="15" customHeight="1">
      <c r="A69" s="74"/>
      <c r="B69" s="91" t="s">
        <v>396</v>
      </c>
      <c r="C69" s="170"/>
      <c r="D69" s="170"/>
      <c r="F69" s="74"/>
      <c r="G69" s="74"/>
    </row>
    <row r="70" spans="1:7" ht="15" customHeight="1">
      <c r="A70" s="74"/>
      <c r="C70" s="91"/>
      <c r="D70" s="91"/>
      <c r="F70" s="74"/>
      <c r="G70" s="74"/>
    </row>
    <row r="71" spans="1:7" ht="15">
      <c r="A71" s="74"/>
      <c r="B71" s="406"/>
      <c r="C71" s="406"/>
      <c r="D71" s="406"/>
      <c r="E71" s="406"/>
      <c r="F71" s="74"/>
      <c r="G71" s="74"/>
    </row>
    <row r="72" spans="1:7" ht="15">
      <c r="A72" s="74"/>
      <c r="B72" s="406"/>
      <c r="C72" s="407"/>
      <c r="D72" s="406"/>
      <c r="E72" s="406"/>
      <c r="F72" s="74"/>
      <c r="G72" s="74"/>
    </row>
    <row r="73" spans="1:7" ht="15">
      <c r="A73" s="74"/>
      <c r="B73" s="408"/>
      <c r="C73" s="409"/>
      <c r="D73" s="409"/>
      <c r="E73" s="406"/>
      <c r="F73" s="74"/>
      <c r="G73" s="74"/>
    </row>
    <row r="74" spans="1:7" ht="15">
      <c r="A74" s="74"/>
      <c r="B74" s="406"/>
      <c r="C74" s="409"/>
      <c r="D74" s="409"/>
      <c r="E74" s="406"/>
      <c r="F74" s="74"/>
      <c r="G74" s="74"/>
    </row>
    <row r="75" spans="1:7" ht="18">
      <c r="A75" s="74"/>
      <c r="B75" s="86" t="s">
        <v>105</v>
      </c>
      <c r="C75" s="86"/>
      <c r="D75" s="86"/>
      <c r="F75" s="74"/>
      <c r="G75" s="74"/>
    </row>
    <row r="76" spans="1:7" ht="18">
      <c r="A76" s="74"/>
      <c r="B76" s="138" t="s">
        <v>242</v>
      </c>
      <c r="C76" s="138"/>
      <c r="D76" s="138"/>
      <c r="F76" s="74"/>
      <c r="G76" s="74"/>
    </row>
    <row r="77" spans="1:7" ht="15" customHeight="1">
      <c r="A77" s="74"/>
      <c r="B77" s="136" t="s">
        <v>66</v>
      </c>
      <c r="C77" s="136"/>
      <c r="D77" s="136"/>
      <c r="F77" s="74"/>
      <c r="G77" s="74"/>
    </row>
    <row r="78" spans="1:7" ht="15.75" customHeight="1">
      <c r="A78" s="74"/>
      <c r="B78" s="136" t="s">
        <v>84</v>
      </c>
      <c r="C78" s="136"/>
      <c r="D78" s="136"/>
      <c r="F78" s="74"/>
      <c r="G78" s="74"/>
    </row>
    <row r="79" spans="1:7" ht="15.75" customHeight="1">
      <c r="A79" s="74"/>
      <c r="B79" s="329" t="str">
        <f>+B9</f>
        <v>Al 31 de marzo de 2024</v>
      </c>
      <c r="C79" s="329"/>
      <c r="D79" s="269"/>
      <c r="F79" s="74"/>
      <c r="G79" s="74"/>
    </row>
    <row r="80" spans="1:7" ht="7.5" customHeight="1">
      <c r="A80" s="74"/>
      <c r="B80" s="87"/>
      <c r="C80" s="87"/>
      <c r="D80" s="87"/>
      <c r="F80" s="74"/>
      <c r="G80" s="74"/>
    </row>
    <row r="81" spans="2:5" s="74" customFormat="1" ht="15" customHeight="1">
      <c r="B81" s="535" t="s">
        <v>101</v>
      </c>
      <c r="C81" s="547" t="s">
        <v>53</v>
      </c>
      <c r="D81" s="544" t="s">
        <v>130</v>
      </c>
      <c r="E81" s="63"/>
    </row>
    <row r="82" spans="2:5" s="74" customFormat="1" ht="13.5" customHeight="1">
      <c r="B82" s="536"/>
      <c r="C82" s="548"/>
      <c r="D82" s="545"/>
      <c r="E82" s="63"/>
    </row>
    <row r="83" spans="2:5" s="74" customFormat="1" ht="9" customHeight="1">
      <c r="B83" s="537"/>
      <c r="C83" s="549"/>
      <c r="D83" s="546"/>
      <c r="E83" s="63"/>
    </row>
    <row r="84" spans="2:4" s="74" customFormat="1" ht="11.25" customHeight="1" hidden="1">
      <c r="B84" s="88"/>
      <c r="C84" s="88"/>
      <c r="D84" s="106"/>
    </row>
    <row r="85" spans="2:4" s="74" customFormat="1" ht="18" customHeight="1" hidden="1">
      <c r="B85" s="73" t="s">
        <v>69</v>
      </c>
      <c r="C85" s="65">
        <f>+C86</f>
        <v>0</v>
      </c>
      <c r="D85" s="66">
        <f>+D86</f>
        <v>0</v>
      </c>
    </row>
    <row r="86" spans="2:4" s="74" customFormat="1" ht="15.75" customHeight="1" hidden="1">
      <c r="B86" s="67" t="s">
        <v>70</v>
      </c>
      <c r="C86" s="68">
        <f>+C87</f>
        <v>0</v>
      </c>
      <c r="D86" s="69">
        <f>+D87</f>
        <v>0</v>
      </c>
    </row>
    <row r="87" spans="2:4" s="74" customFormat="1" ht="16.5" customHeight="1" hidden="1">
      <c r="B87" s="70" t="s">
        <v>58</v>
      </c>
      <c r="C87" s="71">
        <v>0</v>
      </c>
      <c r="D87" s="72">
        <f>+C87/$E$9</f>
        <v>0</v>
      </c>
    </row>
    <row r="88" spans="2:4" s="74" customFormat="1" ht="9.75" customHeight="1">
      <c r="B88" s="111"/>
      <c r="C88" s="68"/>
      <c r="D88" s="69"/>
    </row>
    <row r="89" spans="2:4" s="74" customFormat="1" ht="18" customHeight="1">
      <c r="B89" s="382" t="s">
        <v>80</v>
      </c>
      <c r="C89" s="343">
        <f>+C91</f>
        <v>0</v>
      </c>
      <c r="D89" s="349">
        <f>+D91</f>
        <v>0</v>
      </c>
    </row>
    <row r="90" spans="2:4" s="74" customFormat="1" ht="9.75" customHeight="1">
      <c r="B90" s="382"/>
      <c r="C90" s="343"/>
      <c r="D90" s="349"/>
    </row>
    <row r="91" spans="2:4" s="74" customFormat="1" ht="18" customHeight="1">
      <c r="B91" s="388" t="s">
        <v>92</v>
      </c>
      <c r="C91" s="343">
        <v>0</v>
      </c>
      <c r="D91" s="349">
        <v>0</v>
      </c>
    </row>
    <row r="92" spans="2:4" s="74" customFormat="1" ht="12" customHeight="1">
      <c r="B92" s="383"/>
      <c r="C92" s="343"/>
      <c r="D92" s="349"/>
    </row>
    <row r="93" spans="2:4" s="74" customFormat="1" ht="18" customHeight="1">
      <c r="B93" s="382" t="s">
        <v>81</v>
      </c>
      <c r="C93" s="343">
        <f>+C95</f>
        <v>22161.57248</v>
      </c>
      <c r="D93" s="349">
        <f>+D95</f>
        <v>82463.21119999999</v>
      </c>
    </row>
    <row r="94" spans="2:4" s="74" customFormat="1" ht="9.75" customHeight="1">
      <c r="B94" s="382"/>
      <c r="C94" s="343"/>
      <c r="D94" s="349"/>
    </row>
    <row r="95" spans="2:4" s="74" customFormat="1" ht="18" customHeight="1">
      <c r="B95" s="388" t="s">
        <v>92</v>
      </c>
      <c r="C95" s="343">
        <f>+C97+C102+C105</f>
        <v>22161.57248</v>
      </c>
      <c r="D95" s="349">
        <f>+D97+D102+D105</f>
        <v>82463.21119999999</v>
      </c>
    </row>
    <row r="96" spans="2:4" s="74" customFormat="1" ht="7.5" customHeight="1">
      <c r="B96" s="383"/>
      <c r="C96" s="343"/>
      <c r="D96" s="349"/>
    </row>
    <row r="97" spans="2:4" s="74" customFormat="1" ht="15.75" customHeight="1">
      <c r="B97" s="355" t="s">
        <v>143</v>
      </c>
      <c r="C97" s="344">
        <f>SUM(C98:C100)</f>
        <v>141.6856</v>
      </c>
      <c r="D97" s="347">
        <f>SUM(D98:D100)</f>
        <v>527.2121199999999</v>
      </c>
    </row>
    <row r="98" spans="2:5" s="74" customFormat="1" ht="15.75" customHeight="1">
      <c r="B98" s="354" t="s">
        <v>152</v>
      </c>
      <c r="C98" s="348">
        <v>140.77288</v>
      </c>
      <c r="D98" s="348">
        <f>ROUND(+C98*$E$9,5)</f>
        <v>523.81589</v>
      </c>
      <c r="E98" s="63"/>
    </row>
    <row r="99" spans="2:5" s="74" customFormat="1" ht="15.75" customHeight="1">
      <c r="B99" s="354" t="s">
        <v>250</v>
      </c>
      <c r="C99" s="348">
        <v>0.9127200000000001</v>
      </c>
      <c r="D99" s="348">
        <f>ROUND(+C99*$E$9,5)</f>
        <v>3.39623</v>
      </c>
      <c r="E99" s="63"/>
    </row>
    <row r="100" spans="2:5" s="74" customFormat="1" ht="15.75" customHeight="1" hidden="1">
      <c r="B100" s="354" t="s">
        <v>254</v>
      </c>
      <c r="C100" s="345">
        <v>0</v>
      </c>
      <c r="D100" s="348">
        <f>ROUND(+C100*$E$9,5)</f>
        <v>0</v>
      </c>
      <c r="E100" s="63"/>
    </row>
    <row r="101" spans="2:4" s="74" customFormat="1" ht="7.5" customHeight="1">
      <c r="B101" s="387"/>
      <c r="C101" s="345"/>
      <c r="D101" s="348"/>
    </row>
    <row r="102" spans="2:4" s="74" customFormat="1" ht="15" customHeight="1">
      <c r="B102" s="355" t="s">
        <v>146</v>
      </c>
      <c r="C102" s="344">
        <f>SUM(C103:C103)</f>
        <v>22019.88688</v>
      </c>
      <c r="D102" s="347">
        <f>SUM(D103:D103)</f>
        <v>81935.99908</v>
      </c>
    </row>
    <row r="103" spans="2:5" s="74" customFormat="1" ht="15.75" customHeight="1">
      <c r="B103" s="354" t="s">
        <v>147</v>
      </c>
      <c r="C103" s="348">
        <v>22019.88688</v>
      </c>
      <c r="D103" s="348">
        <f>ROUND(+C103*$E$9,5)</f>
        <v>81935.99908</v>
      </c>
      <c r="E103" s="63"/>
    </row>
    <row r="104" spans="2:4" s="74" customFormat="1" ht="7.5" customHeight="1">
      <c r="B104" s="387"/>
      <c r="C104" s="345"/>
      <c r="D104" s="347"/>
    </row>
    <row r="105" spans="2:4" s="74" customFormat="1" ht="15.75" customHeight="1">
      <c r="B105" s="355" t="s">
        <v>153</v>
      </c>
      <c r="C105" s="344">
        <v>0</v>
      </c>
      <c r="D105" s="347">
        <v>0</v>
      </c>
    </row>
    <row r="106" spans="2:4" s="74" customFormat="1" ht="15.75" customHeight="1" hidden="1">
      <c r="B106" s="70" t="s">
        <v>124</v>
      </c>
      <c r="C106" s="345">
        <v>0</v>
      </c>
      <c r="D106" s="348">
        <f>+C106*$E$9</f>
        <v>0</v>
      </c>
    </row>
    <row r="107" spans="2:4" s="74" customFormat="1" ht="12" customHeight="1">
      <c r="B107" s="70"/>
      <c r="C107" s="345"/>
      <c r="D107" s="348"/>
    </row>
    <row r="108" spans="2:4" s="74" customFormat="1" ht="15.75" customHeight="1">
      <c r="B108" s="382" t="s">
        <v>224</v>
      </c>
      <c r="C108" s="343">
        <f>+C110</f>
        <v>0</v>
      </c>
      <c r="D108" s="349">
        <f>+D110</f>
        <v>0</v>
      </c>
    </row>
    <row r="109" spans="2:4" s="74" customFormat="1" ht="9.75" customHeight="1">
      <c r="B109" s="70"/>
      <c r="C109" s="345"/>
      <c r="D109" s="348"/>
    </row>
    <row r="110" spans="2:4" s="74" customFormat="1" ht="15.75" customHeight="1">
      <c r="B110" s="381" t="s">
        <v>92</v>
      </c>
      <c r="C110" s="343">
        <f>+C112</f>
        <v>0</v>
      </c>
      <c r="D110" s="349">
        <f>+D112</f>
        <v>0</v>
      </c>
    </row>
    <row r="111" spans="2:4" s="74" customFormat="1" ht="9.75" customHeight="1" hidden="1">
      <c r="B111" s="384"/>
      <c r="C111" s="343"/>
      <c r="D111" s="349"/>
    </row>
    <row r="112" spans="2:4" s="74" customFormat="1" ht="15.75" customHeight="1" hidden="1">
      <c r="B112" s="385" t="s">
        <v>225</v>
      </c>
      <c r="C112" s="344">
        <v>0</v>
      </c>
      <c r="D112" s="350">
        <v>0</v>
      </c>
    </row>
    <row r="113" spans="2:4" s="74" customFormat="1" ht="9.75" customHeight="1">
      <c r="B113" s="70"/>
      <c r="C113" s="345"/>
      <c r="D113" s="347"/>
    </row>
    <row r="114" spans="2:4" s="74" customFormat="1" ht="15" customHeight="1">
      <c r="B114" s="564" t="s">
        <v>16</v>
      </c>
      <c r="C114" s="557">
        <f>+C93+C89+C108</f>
        <v>22161.57248</v>
      </c>
      <c r="D114" s="557">
        <f>+D93+D89+D108</f>
        <v>82463.21119999999</v>
      </c>
    </row>
    <row r="115" spans="2:4" s="74" customFormat="1" ht="15" customHeight="1">
      <c r="B115" s="565"/>
      <c r="C115" s="558"/>
      <c r="D115" s="558"/>
    </row>
    <row r="116" spans="2:4" s="74" customFormat="1" ht="7.5" customHeight="1">
      <c r="B116" s="107"/>
      <c r="C116" s="89"/>
      <c r="D116" s="89"/>
    </row>
    <row r="117" spans="2:4" s="74" customFormat="1" ht="17.25" customHeight="1">
      <c r="B117" s="108" t="s">
        <v>111</v>
      </c>
      <c r="C117" s="476"/>
      <c r="D117" s="187"/>
    </row>
    <row r="118" spans="2:4" s="74" customFormat="1" ht="6.75" customHeight="1">
      <c r="B118" s="108"/>
      <c r="C118" s="89"/>
      <c r="D118" s="89"/>
    </row>
    <row r="119" spans="2:4" s="74" customFormat="1" ht="15">
      <c r="B119" s="513"/>
      <c r="C119" s="513"/>
      <c r="D119" s="513"/>
    </row>
    <row r="120" spans="2:4" s="74" customFormat="1" ht="15">
      <c r="B120" s="513"/>
      <c r="C120" s="513"/>
      <c r="D120" s="513"/>
    </row>
    <row r="121" spans="2:4" s="74" customFormat="1" ht="15">
      <c r="B121" s="406"/>
      <c r="C121" s="410"/>
      <c r="D121" s="410"/>
    </row>
    <row r="122" spans="2:4" s="74" customFormat="1" ht="15">
      <c r="B122" s="406"/>
      <c r="C122" s="399"/>
      <c r="D122" s="399"/>
    </row>
    <row r="123" spans="2:4" s="74" customFormat="1" ht="15">
      <c r="B123" s="406"/>
      <c r="C123" s="396"/>
      <c r="D123" s="396"/>
    </row>
    <row r="124" spans="2:4" s="74" customFormat="1" ht="15">
      <c r="B124" s="406"/>
      <c r="C124" s="406"/>
      <c r="D124" s="406"/>
    </row>
    <row r="125" spans="2:4" s="74" customFormat="1" ht="15">
      <c r="B125" s="406"/>
      <c r="C125" s="398"/>
      <c r="D125" s="398"/>
    </row>
    <row r="126" spans="2:4" s="74" customFormat="1" ht="15">
      <c r="B126" s="406"/>
      <c r="C126" s="406"/>
      <c r="D126" s="406"/>
    </row>
    <row r="127" spans="2:4" s="74" customFormat="1" ht="15">
      <c r="B127" s="406"/>
      <c r="C127" s="406"/>
      <c r="D127" s="406"/>
    </row>
    <row r="128" spans="2:4" s="74" customFormat="1" ht="15">
      <c r="B128" s="406"/>
      <c r="C128" s="406"/>
      <c r="D128" s="406"/>
    </row>
    <row r="129" spans="1:7" ht="15">
      <c r="A129" s="74"/>
      <c r="B129" s="406"/>
      <c r="C129" s="406"/>
      <c r="D129" s="406"/>
      <c r="E129" s="74"/>
      <c r="F129" s="74"/>
      <c r="G129" s="74"/>
    </row>
    <row r="130" spans="1:7" ht="15">
      <c r="A130" s="74"/>
      <c r="B130" s="406"/>
      <c r="C130" s="406"/>
      <c r="D130" s="406"/>
      <c r="E130" s="74"/>
      <c r="F130" s="74"/>
      <c r="G130" s="74"/>
    </row>
    <row r="131" spans="1:7" ht="15">
      <c r="A131" s="74"/>
      <c r="B131" s="406"/>
      <c r="C131" s="406"/>
      <c r="D131" s="406"/>
      <c r="E131" s="74"/>
      <c r="F131" s="74"/>
      <c r="G131" s="74"/>
    </row>
    <row r="132" spans="1:7" ht="15">
      <c r="A132" s="74"/>
      <c r="B132" s="406"/>
      <c r="C132" s="406"/>
      <c r="D132" s="406"/>
      <c r="E132" s="74"/>
      <c r="F132" s="74"/>
      <c r="G132" s="74"/>
    </row>
    <row r="133" spans="1:7" ht="15">
      <c r="A133" s="74"/>
      <c r="B133" s="406"/>
      <c r="C133" s="406"/>
      <c r="D133" s="406"/>
      <c r="E133" s="74"/>
      <c r="F133" s="74"/>
      <c r="G133" s="74"/>
    </row>
    <row r="134" spans="1:7" ht="15">
      <c r="A134" s="74"/>
      <c r="B134" s="406"/>
      <c r="C134" s="406"/>
      <c r="D134" s="406"/>
      <c r="E134" s="74"/>
      <c r="F134" s="74"/>
      <c r="G134" s="74"/>
    </row>
    <row r="135" spans="1:7" ht="15">
      <c r="A135" s="74"/>
      <c r="B135" s="406"/>
      <c r="C135" s="406"/>
      <c r="D135" s="406"/>
      <c r="E135" s="74"/>
      <c r="F135" s="74"/>
      <c r="G135" s="74"/>
    </row>
    <row r="454" s="74" customFormat="1" ht="15">
      <c r="D454" s="112"/>
    </row>
  </sheetData>
  <sheetProtection/>
  <mergeCells count="14">
    <mergeCell ref="C61:C62"/>
    <mergeCell ref="D61:D62"/>
    <mergeCell ref="B119:D119"/>
    <mergeCell ref="B120:D120"/>
    <mergeCell ref="B11:B13"/>
    <mergeCell ref="C11:C13"/>
    <mergeCell ref="D11:D13"/>
    <mergeCell ref="B114:B115"/>
    <mergeCell ref="B81:B83"/>
    <mergeCell ref="C81:C83"/>
    <mergeCell ref="D81:D83"/>
    <mergeCell ref="C114:C115"/>
    <mergeCell ref="D114:D115"/>
    <mergeCell ref="B61:B62"/>
  </mergeCells>
  <printOptions/>
  <pageMargins left="1.1811023622047245" right="0.7086614173228347" top="0.7874015748031497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2019-01-04T21:44:00Z</cp:lastPrinted>
  <dcterms:created xsi:type="dcterms:W3CDTF">2012-08-14T20:42:27Z</dcterms:created>
  <dcterms:modified xsi:type="dcterms:W3CDTF">2024-05-03T15:12:27Z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